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<sst xmlns="http://schemas.openxmlformats.org/spreadsheetml/2006/main" count="127" uniqueCount="122">
  <si>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</si>
  <si>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</si>
  <si>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</si>
  <si>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</si>
  <si>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</si>
  <si>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</si>
  <si>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</si>
  <si>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</si>
  <si>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</si>
  <si>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</si>
  <si>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</si>
  <si>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</si>
  <si>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</si>
  <si>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</si>
  <si>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</si>
  <si>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</si>
  <si>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</si>
  <si>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</si>
  <si>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</si>
  <si>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</si>
  <si>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</si>
  <si>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</si>
  <si>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</si>
  <si>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</si>
  <si>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</si>
  <si>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</si>
  <si>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</si>
  <si>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</si>
  <si>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</si>
  <si>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</si>
  <si>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</si>
  <si>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</si>
  <si>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</si>
  <si>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</si>
  <si>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</si>
  <si>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</si>
  <si>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</si>
  <si>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</si>
  <si>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</si>
  <si>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</si>
  <si>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</si>
  <si>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</si>
  <si>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</si>
  <si>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</si>
  <si>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</si>
  <si>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</si>
  <si>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</si>
  <si>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</si>
  <si>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</si>
  <si>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</si>
  <si>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</si>
  <si>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</si>
  <si>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</si>
  <si>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</si>
  <si>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</si>
  <si>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</si>
  <si>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</si>
  <si>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</si>
  <si>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</si>
  <si>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</si>
  <si>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</si>
  <si>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</si>
  <si>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</si>
  <si>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</si>
  <si>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</si>
  <si>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</si>
  <si>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</si>
  <si>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</si>
  <si>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</si>
  <si>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</si>
  <si>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</si>
  <si>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</si>
  <si>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</si>
  <si>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</si>
  <si>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</si>
  <si>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</si>
  <si>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</si>
  <si>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</si>
  <si>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</si>
  <si>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</si>
  <si>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</si>
  <si>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</si>
  <si>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</si>
  <si>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</si>
  <si>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</si>
  <si>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</si>
  <si>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</si>
  <si>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</si>
  <si>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</si>
  <si>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</si>
  <si>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</si>
  <si>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</si>
  <si>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</si>
  <si>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</si>
  <si>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</si>
  <si>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</si>
  <si>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</si>
  <si>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</si>
  <si>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</si>
  <si>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</si>
  <si>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</si>
  <si>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</si>
  <si>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</si>
  <si>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</si>
  <si>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</si>
  <si>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</si>
  <si>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</si>
  <si>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</si>
  <si>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</si>
  <si>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</si>
  <si>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</si>
  <si>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</si>
  <si>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</si>
  <si>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</si>
  <si>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</si>
  <si>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</si>
  <si>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Капітальний ремонт бульв. Шевченка (тротуари від вул. Небесної Сотні до вул. Г.Сталінграда), м. Черкаси</t>
  </si>
  <si>
    <t>Реконструкція провулку Богдана Хмельницького  м.Черкаси</t>
  </si>
  <si>
    <t>Реконструкція вул. Ільїна (від вул. Чорновола до вул. Пацаєва) з ПКД</t>
  </si>
  <si>
    <t>Відсоток виконання до плану 6 місяців</t>
  </si>
  <si>
    <t>Залишок призначень до плану 6 місяців</t>
  </si>
  <si>
    <t>Касові видатки станом на 07.06.18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</si>
</sst>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0"/>
      <color indexed="59"/>
      <name val="Times New Roman"/>
      <family val="1"/>
    </font>
    <font>
      <sz val="14"/>
      <color indexed="59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0" fontId="44" fillId="0" borderId="10" xfId="84" applyFont="1" applyBorder="1">
      <alignment/>
      <protection/>
    </xf>
    <xf numFmtId="0" fontId="18" fillId="0" borderId="10" xfId="84" applyFont="1" applyFill="1" applyBorder="1" applyAlignment="1">
      <alignment horizontal="center"/>
      <protection/>
    </xf>
    <xf numFmtId="196" fontId="5" fillId="0" borderId="10" xfId="84" applyNumberFormat="1" applyFont="1" applyFill="1" applyBorder="1" applyAlignment="1">
      <alignment horizontal="center"/>
      <protection/>
    </xf>
    <xf numFmtId="0" fontId="45" fillId="0" borderId="0" xfId="84" applyFont="1">
      <alignment/>
      <protection/>
    </xf>
    <xf numFmtId="4" fontId="18" fillId="11" borderId="10" xfId="0" applyNumberFormat="1" applyFont="1" applyFill="1" applyBorder="1" applyAlignment="1">
      <alignment horizontal="center" vertical="center"/>
    </xf>
    <xf numFmtId="4" fontId="46" fillId="0" borderId="10" xfId="80" applyNumberFormat="1" applyFont="1" applyFill="1" applyBorder="1" applyAlignment="1">
      <alignment horizontal="center"/>
      <protection/>
    </xf>
    <xf numFmtId="0" fontId="47" fillId="25" borderId="10" xfId="0" applyFont="1" applyFill="1" applyBorder="1" applyAlignment="1">
      <alignment wrapText="1"/>
    </xf>
    <xf numFmtId="4" fontId="18" fillId="24" borderId="1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0" xfId="84" applyFont="1" applyBorder="1" applyAlignment="1">
      <alignment horizontal="center" vertic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5" fillId="0" borderId="15" xfId="84" applyFont="1" applyFill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0" fontId="5" fillId="0" borderId="14" xfId="84" applyFont="1" applyBorder="1" applyAlignment="1">
      <alignment horizontal="center" wrapText="1"/>
      <protection/>
    </xf>
    <xf numFmtId="196" fontId="21" fillId="0" borderId="12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Q11" sqref="AQ11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2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7.8320312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29" width="0" style="4" hidden="1" customWidth="1"/>
    <col min="30" max="16384" width="9.33203125" style="4" customWidth="1"/>
  </cols>
  <sheetData>
    <row r="1" spans="4:7" ht="74.25" customHeight="1" hidden="1">
      <c r="D1" s="85" t="s">
        <v>30</v>
      </c>
      <c r="E1" s="86"/>
      <c r="F1" s="24"/>
      <c r="G1" s="24"/>
    </row>
    <row r="2" spans="3:7" ht="39.75" customHeight="1">
      <c r="C2" s="78"/>
      <c r="D2" s="23"/>
      <c r="E2" s="24"/>
      <c r="F2" s="24"/>
      <c r="G2" s="24"/>
    </row>
    <row r="3" spans="1:9" ht="21" customHeight="1">
      <c r="A3" s="87" t="s">
        <v>12</v>
      </c>
      <c r="B3" s="87"/>
      <c r="C3" s="87"/>
      <c r="D3" s="87"/>
      <c r="E3" s="87"/>
      <c r="F3" s="87"/>
      <c r="G3" s="87"/>
      <c r="H3" s="87"/>
      <c r="I3" s="87"/>
    </row>
    <row r="4" spans="1:9" ht="20.25" customHeight="1">
      <c r="A4" s="88" t="s">
        <v>31</v>
      </c>
      <c r="B4" s="88"/>
      <c r="C4" s="88"/>
      <c r="D4" s="88"/>
      <c r="E4" s="88"/>
      <c r="F4" s="88"/>
      <c r="G4" s="88"/>
      <c r="H4" s="88"/>
      <c r="I4" s="88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91" t="s">
        <v>3</v>
      </c>
      <c r="B7" s="6"/>
      <c r="C7" s="91" t="s">
        <v>14</v>
      </c>
      <c r="D7" s="92" t="s">
        <v>15</v>
      </c>
      <c r="E7" s="92" t="s">
        <v>0</v>
      </c>
      <c r="F7" s="92" t="s">
        <v>39</v>
      </c>
      <c r="G7" s="7" t="s">
        <v>40</v>
      </c>
      <c r="H7" s="93" t="s">
        <v>121</v>
      </c>
      <c r="I7" s="89" t="s">
        <v>16</v>
      </c>
      <c r="J7" s="83" t="s">
        <v>119</v>
      </c>
    </row>
    <row r="8" spans="1:25" ht="39.75" customHeight="1">
      <c r="A8" s="91"/>
      <c r="B8" s="8" t="s">
        <v>4</v>
      </c>
      <c r="C8" s="91"/>
      <c r="D8" s="92"/>
      <c r="E8" s="92"/>
      <c r="F8" s="92"/>
      <c r="G8" s="42" t="s">
        <v>41</v>
      </c>
      <c r="H8" s="94"/>
      <c r="I8" s="90"/>
      <c r="J8" s="84"/>
      <c r="L8" s="95" t="s">
        <v>120</v>
      </c>
      <c r="M8" s="89" t="s">
        <v>17</v>
      </c>
      <c r="N8" s="83" t="s">
        <v>18</v>
      </c>
      <c r="O8" s="89" t="s">
        <v>19</v>
      </c>
      <c r="P8" s="89" t="s">
        <v>20</v>
      </c>
      <c r="Q8" s="89" t="s">
        <v>21</v>
      </c>
      <c r="R8" s="89" t="s">
        <v>22</v>
      </c>
      <c r="S8" s="89" t="s">
        <v>23</v>
      </c>
      <c r="T8" s="89" t="s">
        <v>24</v>
      </c>
      <c r="U8" s="89" t="s">
        <v>25</v>
      </c>
      <c r="V8" s="89" t="s">
        <v>26</v>
      </c>
      <c r="W8" s="89" t="s">
        <v>27</v>
      </c>
      <c r="X8" s="89" t="s">
        <v>28</v>
      </c>
      <c r="Y8" s="89" t="s">
        <v>29</v>
      </c>
    </row>
    <row r="9" spans="1:25" ht="1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6">
        <v>9</v>
      </c>
      <c r="L9" s="96"/>
      <c r="M9" s="90"/>
      <c r="N9" s="84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9" customFormat="1" ht="19.5" customHeight="1">
      <c r="A10" s="100" t="s">
        <v>5</v>
      </c>
      <c r="B10" s="101"/>
      <c r="C10" s="101"/>
      <c r="D10" s="101"/>
      <c r="E10" s="101"/>
      <c r="F10" s="101"/>
      <c r="G10" s="101"/>
      <c r="H10" s="101"/>
      <c r="I10" s="101"/>
      <c r="J10" s="10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6" ht="37.5">
      <c r="A11" s="10">
        <v>1</v>
      </c>
      <c r="B11" s="11"/>
      <c r="C11" s="12" t="s">
        <v>32</v>
      </c>
      <c r="D11" s="13">
        <f>D12+D29</f>
        <v>93300208.80999999</v>
      </c>
      <c r="E11" s="13">
        <f>E12+E29</f>
        <v>54847147.29</v>
      </c>
      <c r="F11" s="13">
        <f>F12+F29</f>
        <v>38453061.51999999</v>
      </c>
      <c r="G11" s="13">
        <f>G12+G29</f>
        <v>38453061.51999999</v>
      </c>
      <c r="H11" s="13">
        <f>H12</f>
        <v>16902206.5</v>
      </c>
      <c r="I11" s="63">
        <f aca="true" t="shared" si="0" ref="I11:I18">H11/D11*100</f>
        <v>18.11593641169687</v>
      </c>
      <c r="J11" s="64">
        <f>(H11/(M11+N11+O11+P11+Q11+R11))*100</f>
        <v>77.49564830594375</v>
      </c>
      <c r="K11" s="20"/>
      <c r="L11" s="65">
        <f>M11+N11+O11+P11+Q11+R11-H11</f>
        <v>4908316.890000001</v>
      </c>
      <c r="M11" s="66">
        <f>M12+M21</f>
        <v>3250000</v>
      </c>
      <c r="N11" s="66">
        <f aca="true" t="shared" si="1" ref="N11:X11">N12+N21</f>
        <v>3932800</v>
      </c>
      <c r="O11" s="66">
        <f t="shared" si="1"/>
        <v>3366524.91</v>
      </c>
      <c r="P11" s="66">
        <f t="shared" si="1"/>
        <v>2755560.18</v>
      </c>
      <c r="Q11" s="66">
        <f t="shared" si="1"/>
        <v>4167154.15</v>
      </c>
      <c r="R11" s="66">
        <f t="shared" si="1"/>
        <v>4338484.15</v>
      </c>
      <c r="S11" s="66">
        <f t="shared" si="1"/>
        <v>8478154.15</v>
      </c>
      <c r="T11" s="66">
        <f t="shared" si="1"/>
        <v>5757154.15</v>
      </c>
      <c r="U11" s="66">
        <f t="shared" si="1"/>
        <v>5706418.15</v>
      </c>
      <c r="V11" s="66">
        <f t="shared" si="1"/>
        <v>5267154.15</v>
      </c>
      <c r="W11" s="66">
        <f t="shared" si="1"/>
        <v>4360954.15</v>
      </c>
      <c r="X11" s="66">
        <f t="shared" si="1"/>
        <v>3466789.15</v>
      </c>
      <c r="Y11" s="67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H13+H16+H17+H18+H21</f>
        <v>16902206.5</v>
      </c>
      <c r="I12" s="16">
        <f t="shared" si="0"/>
        <v>30.816929111428358</v>
      </c>
      <c r="J12" s="102">
        <f>((H13+H16+H17+H18)/(M12+N12+O12+P12+Q12+R12))*100</f>
        <v>72.4623447056005</v>
      </c>
      <c r="L12" s="68">
        <f>(M12+N12+O12+P12+Q12+R12)-(H13+H16+H17+H18)</f>
        <v>2124182.0300000003</v>
      </c>
      <c r="M12" s="69">
        <v>250000</v>
      </c>
      <c r="N12" s="69">
        <v>932800</v>
      </c>
      <c r="O12" s="69">
        <v>942800</v>
      </c>
      <c r="P12" s="69">
        <f>942800+1000000-1122330-89264</f>
        <v>731206</v>
      </c>
      <c r="Q12" s="69">
        <f>942800+2000000+200000-500000</f>
        <v>2642800</v>
      </c>
      <c r="R12" s="69">
        <f>942800+2500000-217670-1011000</f>
        <v>2214130</v>
      </c>
      <c r="S12" s="69">
        <f>942800+3000000+400000+500000+1011000</f>
        <v>5853800</v>
      </c>
      <c r="T12" s="69">
        <f>942800+2750000+240000</f>
        <v>3932800</v>
      </c>
      <c r="U12" s="69">
        <f>942800+2250000+500000+89264</f>
        <v>3782064</v>
      </c>
      <c r="V12" s="69">
        <f>942800+2500000</f>
        <v>3442800</v>
      </c>
      <c r="W12" s="69">
        <f>936600+1500000</f>
        <v>2436600</v>
      </c>
      <c r="X12" s="69">
        <f>342435+900000</f>
        <v>1242435</v>
      </c>
      <c r="Y12" s="68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16">
        <f>532303+727873+1251296+858646</f>
        <v>3370118</v>
      </c>
      <c r="I13" s="16">
        <f t="shared" si="0"/>
        <v>18.315858695652175</v>
      </c>
      <c r="J13" s="10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8">
        <f aca="true" t="shared" si="2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3" ref="D14:D19">E14</f>
        <v>0</v>
      </c>
      <c r="E14" s="16"/>
      <c r="F14" s="16"/>
      <c r="G14" s="16"/>
      <c r="H14" s="6"/>
      <c r="I14" s="16" t="e">
        <f t="shared" si="0"/>
        <v>#DIV/0!</v>
      </c>
      <c r="J14" s="10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8">
        <f t="shared" si="2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3"/>
        <v>0</v>
      </c>
      <c r="E15" s="16"/>
      <c r="F15" s="16"/>
      <c r="G15" s="16"/>
      <c r="H15" s="6"/>
      <c r="I15" s="16" t="e">
        <f t="shared" si="0"/>
        <v>#DIV/0!</v>
      </c>
      <c r="J15" s="10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8">
        <f t="shared" si="2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3"/>
        <v>5993800</v>
      </c>
      <c r="E16" s="16">
        <v>5993800</v>
      </c>
      <c r="F16" s="16"/>
      <c r="G16" s="16"/>
      <c r="H16" s="16">
        <f>31577.39+15917.61+121677.93+62675.88+102268.28+39092.55</f>
        <v>373209.63999999996</v>
      </c>
      <c r="I16" s="16">
        <f t="shared" si="0"/>
        <v>6.226594814641795</v>
      </c>
      <c r="J16" s="103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68"/>
      <c r="Z16" s="21"/>
    </row>
    <row r="17" spans="1:26" ht="18.75">
      <c r="A17" s="1"/>
      <c r="B17" s="14"/>
      <c r="C17" s="15" t="s">
        <v>33</v>
      </c>
      <c r="D17" s="16">
        <f t="shared" si="3"/>
        <v>3770435</v>
      </c>
      <c r="E17" s="16">
        <v>3770435</v>
      </c>
      <c r="F17" s="16"/>
      <c r="G17" s="16"/>
      <c r="H17" s="16">
        <f>375177+377002+518168.27+377588</f>
        <v>1647935.27</v>
      </c>
      <c r="I17" s="16">
        <f t="shared" si="0"/>
        <v>43.706767786740784</v>
      </c>
      <c r="J17" s="103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8"/>
      <c r="Z17" s="21"/>
    </row>
    <row r="18" spans="1:26" ht="36.75" customHeight="1">
      <c r="A18" s="1"/>
      <c r="B18" s="14"/>
      <c r="C18" s="15" t="s">
        <v>11</v>
      </c>
      <c r="D18" s="16">
        <f t="shared" si="3"/>
        <v>240000</v>
      </c>
      <c r="E18" s="16">
        <v>240000</v>
      </c>
      <c r="F18" s="16"/>
      <c r="G18" s="16"/>
      <c r="H18" s="16">
        <f>16536.07+44507.89+99499.45+37747.65</f>
        <v>198291.06</v>
      </c>
      <c r="I18" s="16">
        <f t="shared" si="0"/>
        <v>82.621275</v>
      </c>
      <c r="J18" s="104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8"/>
      <c r="Z18" s="21"/>
    </row>
    <row r="19" spans="1:26" ht="18.75" hidden="1">
      <c r="A19" s="1"/>
      <c r="B19" s="14"/>
      <c r="C19" s="15" t="s">
        <v>34</v>
      </c>
      <c r="D19" s="16">
        <f t="shared" si="3"/>
        <v>0</v>
      </c>
      <c r="E19" s="16"/>
      <c r="F19" s="16"/>
      <c r="G19" s="16"/>
      <c r="H19" s="6"/>
      <c r="I19" s="6"/>
      <c r="J19" s="71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8">
        <f t="shared" si="2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1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8">
        <f t="shared" si="2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11312652.530000001</v>
      </c>
      <c r="I21" s="33">
        <f>H21/D21*100</f>
        <v>42.7814168346281</v>
      </c>
      <c r="J21" s="102">
        <f>(H21/(M21+N21+O21+P21+Q21+R21))*100</f>
        <v>80.24986273131272</v>
      </c>
      <c r="L21" s="72">
        <f>(M21+N21+O21+P21+Q21+R21)-H21</f>
        <v>2784134.8599999994</v>
      </c>
      <c r="M21" s="69">
        <v>3000000</v>
      </c>
      <c r="N21" s="69">
        <v>3000000</v>
      </c>
      <c r="O21" s="69">
        <v>2423724.91</v>
      </c>
      <c r="P21" s="69">
        <f>3024354.18-1000000</f>
        <v>2024354.1800000002</v>
      </c>
      <c r="Q21" s="69">
        <f>4124354.15-100000-2000000-500000</f>
        <v>1524354.15</v>
      </c>
      <c r="R21" s="69">
        <f>4624354.15-2500000</f>
        <v>2124354.1500000004</v>
      </c>
      <c r="S21" s="69">
        <f>5124354.15-3000000+500000</f>
        <v>2624354.1500000004</v>
      </c>
      <c r="T21" s="69">
        <f>5324354.15-3500000</f>
        <v>1824354.1500000004</v>
      </c>
      <c r="U21" s="69">
        <f>4924354.15-3000000</f>
        <v>1924354.1500000004</v>
      </c>
      <c r="V21" s="69">
        <f>4324354.15-2500000</f>
        <v>1824354.1500000004</v>
      </c>
      <c r="W21" s="69">
        <f>3424354.15-1500000</f>
        <v>1924354.15</v>
      </c>
      <c r="X21" s="69">
        <f>3124354.15-900000</f>
        <v>2224354.15</v>
      </c>
      <c r="Y21" s="68">
        <f t="shared" si="2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4" ref="D22:D28">E22</f>
        <v>7482817.5</v>
      </c>
      <c r="E22" s="18">
        <f>6996363.05+20486454.45-100000-19900000</f>
        <v>7482817.5</v>
      </c>
      <c r="F22" s="18"/>
      <c r="G22" s="18"/>
      <c r="H22" s="18">
        <f>88816.34+83807+156466.99+142148.3+401527+150358.86+339375.78+15784.83+403050+514007+596420.64+220250</f>
        <v>3112012.74</v>
      </c>
      <c r="I22" s="18">
        <f aca="true" t="shared" si="5" ref="I22:I28">H22/D22*100</f>
        <v>41.588783102086886</v>
      </c>
      <c r="J22" s="10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68">
        <f t="shared" si="2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4"/>
        <v>2377725.76</v>
      </c>
      <c r="E23" s="18">
        <v>2377725.76</v>
      </c>
      <c r="F23" s="18"/>
      <c r="G23" s="18"/>
      <c r="H23" s="18"/>
      <c r="I23" s="38">
        <f t="shared" si="5"/>
        <v>0</v>
      </c>
      <c r="J23" s="10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68">
        <f t="shared" si="2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4"/>
        <v>1090451.52</v>
      </c>
      <c r="E24" s="18">
        <v>1090451.52</v>
      </c>
      <c r="F24" s="18"/>
      <c r="G24" s="18"/>
      <c r="H24" s="18"/>
      <c r="I24" s="38">
        <f t="shared" si="5"/>
        <v>0</v>
      </c>
      <c r="J24" s="10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68">
        <f t="shared" si="2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4"/>
        <v>1371209.6</v>
      </c>
      <c r="E25" s="18">
        <v>1371209.6</v>
      </c>
      <c r="F25" s="18"/>
      <c r="G25" s="18"/>
      <c r="H25" s="18">
        <f>26983.36+34475.26+63440+49627.68+79670+34437.03</f>
        <v>288633.32999999996</v>
      </c>
      <c r="I25" s="18">
        <f t="shared" si="5"/>
        <v>21.04954122258187</v>
      </c>
      <c r="J25" s="10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68">
        <f t="shared" si="2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4"/>
        <v>4436720.07</v>
      </c>
      <c r="E26" s="18">
        <v>4436720.07</v>
      </c>
      <c r="F26" s="18"/>
      <c r="G26" s="18"/>
      <c r="H26" s="18"/>
      <c r="I26" s="38">
        <f t="shared" si="5"/>
        <v>0</v>
      </c>
      <c r="J26" s="10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68">
        <f t="shared" si="2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4"/>
        <v>1041862.2</v>
      </c>
      <c r="E27" s="18">
        <v>1041862.2</v>
      </c>
      <c r="F27" s="18"/>
      <c r="G27" s="18"/>
      <c r="H27" s="18"/>
      <c r="I27" s="38">
        <f t="shared" si="5"/>
        <v>0</v>
      </c>
      <c r="J27" s="10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68">
        <f t="shared" si="2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4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254700+197500+514034.85+725785+539765+84035.02+74217.79+474252.78+120451.82+1437061.98+832560+503365.09+120400.53+395900+16969.93+220274+1033956+38000+184876+143900.67</f>
        <v>7912006.46</v>
      </c>
      <c r="I28" s="18">
        <f t="shared" si="5"/>
        <v>91.5516250235862</v>
      </c>
      <c r="J28" s="104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68">
        <f t="shared" si="2"/>
        <v>0</v>
      </c>
      <c r="Z28" s="21"/>
    </row>
    <row r="29" spans="1:26" ht="18.75">
      <c r="A29" s="35"/>
      <c r="B29" s="36"/>
      <c r="C29" s="43" t="s">
        <v>42</v>
      </c>
      <c r="D29" s="44">
        <f aca="true" t="shared" si="6" ref="D29:D78">E29+F29</f>
        <v>38453061.51999999</v>
      </c>
      <c r="E29" s="18"/>
      <c r="F29" s="44">
        <f aca="true" t="shared" si="7" ref="F29:F78">G29</f>
        <v>38453061.51999999</v>
      </c>
      <c r="G29" s="44">
        <f>SUM(G30:G78)</f>
        <v>38453061.51999999</v>
      </c>
      <c r="H29" s="44">
        <f>SUM(H30:H78)</f>
        <v>11069934.69</v>
      </c>
      <c r="I29" s="44">
        <f>H29/D29*100</f>
        <v>28.788175121615133</v>
      </c>
      <c r="J29" s="77">
        <f>(H29/(M29+N29+O29+P29+Q29+R29))*100</f>
        <v>65.46204937853987</v>
      </c>
      <c r="L29" s="72">
        <f>(M29+N29+O29+P29+Q29+R29)-H29</f>
        <v>5840526.860000001</v>
      </c>
      <c r="M29" s="74">
        <f>SUM(M30:M78)</f>
        <v>0</v>
      </c>
      <c r="N29" s="74">
        <f aca="true" t="shared" si="8" ref="N29:X29">SUM(N30:N78)</f>
        <v>0</v>
      </c>
      <c r="O29" s="45">
        <f t="shared" si="8"/>
        <v>2214750</v>
      </c>
      <c r="P29" s="45">
        <f t="shared" si="8"/>
        <v>8459111.27</v>
      </c>
      <c r="Q29" s="45">
        <f t="shared" si="8"/>
        <v>4443535.74</v>
      </c>
      <c r="R29" s="45">
        <f t="shared" si="8"/>
        <v>1793064.54</v>
      </c>
      <c r="S29" s="45">
        <f t="shared" si="8"/>
        <v>13481571.600000001</v>
      </c>
      <c r="T29" s="45">
        <f t="shared" si="8"/>
        <v>1721000</v>
      </c>
      <c r="U29" s="45">
        <f t="shared" si="8"/>
        <v>2866736</v>
      </c>
      <c r="V29" s="45">
        <f t="shared" si="8"/>
        <v>2379039</v>
      </c>
      <c r="W29" s="45">
        <f t="shared" si="8"/>
        <v>1021753.37</v>
      </c>
      <c r="X29" s="45">
        <f t="shared" si="8"/>
        <v>72500</v>
      </c>
      <c r="Y29" s="68">
        <f t="shared" si="2"/>
        <v>38453061.52</v>
      </c>
      <c r="Z29" s="21">
        <f aca="true" t="shared" si="9" ref="Z29:Z92">Y29-D29</f>
        <v>0</v>
      </c>
    </row>
    <row r="30" spans="1:26" ht="18.75">
      <c r="A30" s="35"/>
      <c r="B30" s="36"/>
      <c r="C30" s="46" t="s">
        <v>43</v>
      </c>
      <c r="D30" s="16">
        <f t="shared" si="6"/>
        <v>150000</v>
      </c>
      <c r="E30" s="18"/>
      <c r="F30" s="47">
        <f t="shared" si="7"/>
        <v>150000</v>
      </c>
      <c r="G30" s="47">
        <v>150000</v>
      </c>
      <c r="H30" s="47">
        <f>26000</f>
        <v>26000</v>
      </c>
      <c r="I30" s="16">
        <f aca="true" t="shared" si="10" ref="I30:I93">H30/D30*100</f>
        <v>17.333333333333336</v>
      </c>
      <c r="J30" s="71">
        <f>(H30/(M30+N30+O30+P30+Q30+R30))*100</f>
        <v>100</v>
      </c>
      <c r="L30" s="68">
        <f>(M30+N30+O30+P30+Q30+R30)-H30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8">
        <f t="shared" si="2"/>
        <v>150000</v>
      </c>
      <c r="Z30" s="21">
        <f t="shared" si="9"/>
        <v>0</v>
      </c>
    </row>
    <row r="31" spans="1:26" ht="37.5">
      <c r="A31" s="35"/>
      <c r="B31" s="36"/>
      <c r="C31" s="46" t="s">
        <v>44</v>
      </c>
      <c r="D31" s="16">
        <f t="shared" si="6"/>
        <v>130000</v>
      </c>
      <c r="E31" s="18"/>
      <c r="F31" s="47">
        <f t="shared" si="7"/>
        <v>130000</v>
      </c>
      <c r="G31" s="47">
        <v>130000</v>
      </c>
      <c r="H31" s="47">
        <f>20000</f>
        <v>20000</v>
      </c>
      <c r="I31" s="16">
        <f t="shared" si="10"/>
        <v>15.384615384615385</v>
      </c>
      <c r="J31" s="71">
        <f aca="true" t="shared" si="11" ref="J31:J94">(H31/(M31+N31+O31+P31+Q31+R31))*100</f>
        <v>100</v>
      </c>
      <c r="L31" s="68">
        <f aca="true" t="shared" si="12" ref="L31:L94">(M31+N31+O31+P31+Q31+R31)-H31</f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8">
        <f t="shared" si="2"/>
        <v>130000</v>
      </c>
      <c r="Z31" s="21">
        <f t="shared" si="9"/>
        <v>0</v>
      </c>
    </row>
    <row r="32" spans="1:26" ht="37.5">
      <c r="A32" s="35"/>
      <c r="B32" s="36"/>
      <c r="C32" s="46" t="s">
        <v>45</v>
      </c>
      <c r="D32" s="16">
        <f t="shared" si="6"/>
        <v>600000</v>
      </c>
      <c r="E32" s="18"/>
      <c r="F32" s="47">
        <f t="shared" si="7"/>
        <v>600000</v>
      </c>
      <c r="G32" s="50">
        <v>600000</v>
      </c>
      <c r="H32" s="47">
        <f>30000+25000+490000</f>
        <v>545000</v>
      </c>
      <c r="I32" s="47">
        <f t="shared" si="10"/>
        <v>90.83333333333333</v>
      </c>
      <c r="J32" s="71">
        <f t="shared" si="11"/>
        <v>100</v>
      </c>
      <c r="L32" s="68">
        <f t="shared" si="12"/>
        <v>0</v>
      </c>
      <c r="M32" s="6"/>
      <c r="N32" s="6"/>
      <c r="O32" s="48"/>
      <c r="P32" s="48">
        <f>30000+570000-55000</f>
        <v>545000</v>
      </c>
      <c r="Q32" s="48"/>
      <c r="R32" s="48">
        <f>25000-25000</f>
        <v>0</v>
      </c>
      <c r="S32" s="48">
        <f>400000-5000-395000+55000</f>
        <v>55000</v>
      </c>
      <c r="T32" s="48"/>
      <c r="U32" s="49"/>
      <c r="V32" s="49">
        <f>175000-175000</f>
        <v>0</v>
      </c>
      <c r="W32" s="49"/>
      <c r="X32" s="49"/>
      <c r="Y32" s="68">
        <f t="shared" si="2"/>
        <v>600000</v>
      </c>
      <c r="Z32" s="21">
        <f t="shared" si="9"/>
        <v>0</v>
      </c>
    </row>
    <row r="33" spans="1:26" ht="37.5">
      <c r="A33" s="35"/>
      <c r="B33" s="36"/>
      <c r="C33" s="46" t="s">
        <v>46</v>
      </c>
      <c r="D33" s="16">
        <f t="shared" si="6"/>
        <v>115000</v>
      </c>
      <c r="E33" s="18"/>
      <c r="F33" s="47">
        <f t="shared" si="7"/>
        <v>115000</v>
      </c>
      <c r="G33" s="47">
        <v>115000</v>
      </c>
      <c r="H33" s="47"/>
      <c r="I33" s="29">
        <f t="shared" si="10"/>
        <v>0</v>
      </c>
      <c r="J33" s="71">
        <f t="shared" si="11"/>
        <v>0</v>
      </c>
      <c r="L33" s="68">
        <f t="shared" si="12"/>
        <v>115000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8">
        <f t="shared" si="2"/>
        <v>115000</v>
      </c>
      <c r="Z33" s="21">
        <f t="shared" si="9"/>
        <v>0</v>
      </c>
    </row>
    <row r="34" spans="1:26" ht="37.5">
      <c r="A34" s="35"/>
      <c r="B34" s="36"/>
      <c r="C34" s="46" t="s">
        <v>47</v>
      </c>
      <c r="D34" s="16">
        <f t="shared" si="6"/>
        <v>650000</v>
      </c>
      <c r="E34" s="18"/>
      <c r="F34" s="47">
        <f t="shared" si="7"/>
        <v>650000</v>
      </c>
      <c r="G34" s="50">
        <v>650000</v>
      </c>
      <c r="H34" s="47"/>
      <c r="I34" s="29">
        <f t="shared" si="10"/>
        <v>0</v>
      </c>
      <c r="J34" s="71" t="e">
        <f t="shared" si="11"/>
        <v>#DIV/0!</v>
      </c>
      <c r="L34" s="68">
        <f t="shared" si="12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8">
        <f t="shared" si="2"/>
        <v>650000</v>
      </c>
      <c r="Z34" s="21">
        <f t="shared" si="9"/>
        <v>0</v>
      </c>
    </row>
    <row r="35" spans="1:26" ht="37.5">
      <c r="A35" s="35"/>
      <c r="B35" s="36"/>
      <c r="C35" s="46" t="s">
        <v>48</v>
      </c>
      <c r="D35" s="16">
        <f t="shared" si="6"/>
        <v>789000</v>
      </c>
      <c r="E35" s="18"/>
      <c r="F35" s="47">
        <f t="shared" si="7"/>
        <v>789000</v>
      </c>
      <c r="G35" s="47">
        <v>789000</v>
      </c>
      <c r="H35" s="47">
        <f>700000</f>
        <v>700000</v>
      </c>
      <c r="I35" s="16">
        <f t="shared" si="10"/>
        <v>88.71989860583017</v>
      </c>
      <c r="J35" s="71">
        <f t="shared" si="11"/>
        <v>100</v>
      </c>
      <c r="L35" s="68">
        <f t="shared" si="12"/>
        <v>0</v>
      </c>
      <c r="M35" s="6"/>
      <c r="N35" s="6"/>
      <c r="O35" s="48"/>
      <c r="P35" s="48"/>
      <c r="Q35" s="48">
        <f>789000-89000</f>
        <v>700000</v>
      </c>
      <c r="R35" s="48"/>
      <c r="S35" s="48">
        <f>89000</f>
        <v>89000</v>
      </c>
      <c r="T35" s="48"/>
      <c r="U35" s="49"/>
      <c r="V35" s="49"/>
      <c r="W35" s="49"/>
      <c r="X35" s="49"/>
      <c r="Y35" s="68">
        <f t="shared" si="2"/>
        <v>789000</v>
      </c>
      <c r="Z35" s="21">
        <f t="shared" si="9"/>
        <v>0</v>
      </c>
    </row>
    <row r="36" spans="1:26" ht="37.5">
      <c r="A36" s="35"/>
      <c r="B36" s="36"/>
      <c r="C36" s="46" t="s">
        <v>49</v>
      </c>
      <c r="D36" s="16">
        <f t="shared" si="6"/>
        <v>294000</v>
      </c>
      <c r="E36" s="18"/>
      <c r="F36" s="47">
        <f t="shared" si="7"/>
        <v>294000</v>
      </c>
      <c r="G36" s="47">
        <v>294000</v>
      </c>
      <c r="H36" s="47">
        <f>270000</f>
        <v>270000</v>
      </c>
      <c r="I36" s="16">
        <f t="shared" si="10"/>
        <v>91.83673469387756</v>
      </c>
      <c r="J36" s="71">
        <f t="shared" si="11"/>
        <v>91.83673469387756</v>
      </c>
      <c r="L36" s="68">
        <f t="shared" si="12"/>
        <v>24000</v>
      </c>
      <c r="M36" s="6"/>
      <c r="N36" s="6"/>
      <c r="O36" s="48"/>
      <c r="P36" s="48">
        <f>294000-294000+39000</f>
        <v>39000</v>
      </c>
      <c r="Q36" s="48">
        <f>255000</f>
        <v>255000</v>
      </c>
      <c r="R36" s="48"/>
      <c r="S36" s="48">
        <f>294000-294000</f>
        <v>0</v>
      </c>
      <c r="T36" s="48"/>
      <c r="U36" s="49"/>
      <c r="V36" s="49"/>
      <c r="W36" s="49"/>
      <c r="X36" s="49"/>
      <c r="Y36" s="68">
        <f t="shared" si="2"/>
        <v>294000</v>
      </c>
      <c r="Z36" s="21">
        <f t="shared" si="9"/>
        <v>0</v>
      </c>
    </row>
    <row r="37" spans="1:26" ht="37.5">
      <c r="A37" s="35"/>
      <c r="B37" s="36"/>
      <c r="C37" s="46" t="s">
        <v>50</v>
      </c>
      <c r="D37" s="16">
        <f t="shared" si="6"/>
        <v>330316.47</v>
      </c>
      <c r="E37" s="18"/>
      <c r="F37" s="47">
        <f t="shared" si="7"/>
        <v>330316.47</v>
      </c>
      <c r="G37" s="47">
        <v>330316.47</v>
      </c>
      <c r="H37" s="47"/>
      <c r="I37" s="29">
        <f t="shared" si="10"/>
        <v>0</v>
      </c>
      <c r="J37" s="71">
        <f t="shared" si="11"/>
        <v>0</v>
      </c>
      <c r="L37" s="68">
        <f t="shared" si="12"/>
        <v>12904.599999999977</v>
      </c>
      <c r="M37" s="6"/>
      <c r="N37" s="6"/>
      <c r="O37" s="48"/>
      <c r="P37" s="48"/>
      <c r="Q37" s="48">
        <f>330316.47-245411.87-72000</f>
        <v>12904.599999999977</v>
      </c>
      <c r="R37" s="48"/>
      <c r="S37" s="48">
        <f>245411.87+72000</f>
        <v>317411.87</v>
      </c>
      <c r="T37" s="48"/>
      <c r="U37" s="49"/>
      <c r="V37" s="49"/>
      <c r="W37" s="49"/>
      <c r="X37" s="49"/>
      <c r="Y37" s="68">
        <f t="shared" si="2"/>
        <v>330316.47</v>
      </c>
      <c r="Z37" s="21">
        <f t="shared" si="9"/>
        <v>0</v>
      </c>
    </row>
    <row r="38" spans="1:26" ht="37.5">
      <c r="A38" s="35"/>
      <c r="B38" s="36"/>
      <c r="C38" s="46" t="s">
        <v>51</v>
      </c>
      <c r="D38" s="16">
        <f t="shared" si="6"/>
        <v>166000</v>
      </c>
      <c r="E38" s="18"/>
      <c r="F38" s="47">
        <f t="shared" si="7"/>
        <v>166000</v>
      </c>
      <c r="G38" s="47">
        <v>166000</v>
      </c>
      <c r="H38" s="47"/>
      <c r="I38" s="29">
        <f t="shared" si="10"/>
        <v>0</v>
      </c>
      <c r="J38" s="71" t="e">
        <f t="shared" si="11"/>
        <v>#DIV/0!</v>
      </c>
      <c r="L38" s="68">
        <f t="shared" si="12"/>
        <v>0</v>
      </c>
      <c r="M38" s="6"/>
      <c r="N38" s="6"/>
      <c r="O38" s="48"/>
      <c r="P38" s="48"/>
      <c r="Q38" s="48">
        <f>166000-166000</f>
        <v>0</v>
      </c>
      <c r="R38" s="48"/>
      <c r="S38" s="48">
        <f>166000</f>
        <v>166000</v>
      </c>
      <c r="T38" s="48"/>
      <c r="U38" s="49"/>
      <c r="V38" s="49"/>
      <c r="W38" s="49"/>
      <c r="X38" s="49"/>
      <c r="Y38" s="68">
        <f t="shared" si="2"/>
        <v>166000</v>
      </c>
      <c r="Z38" s="21">
        <f t="shared" si="9"/>
        <v>0</v>
      </c>
    </row>
    <row r="39" spans="1:26" ht="18.75">
      <c r="A39" s="35"/>
      <c r="B39" s="36"/>
      <c r="C39" s="46" t="s">
        <v>52</v>
      </c>
      <c r="D39" s="16">
        <f t="shared" si="6"/>
        <v>200000</v>
      </c>
      <c r="E39" s="18"/>
      <c r="F39" s="47">
        <f t="shared" si="7"/>
        <v>200000</v>
      </c>
      <c r="G39" s="50">
        <v>200000</v>
      </c>
      <c r="H39" s="47"/>
      <c r="I39" s="29">
        <f t="shared" si="10"/>
        <v>0</v>
      </c>
      <c r="J39" s="71">
        <f t="shared" si="11"/>
        <v>0</v>
      </c>
      <c r="L39" s="68">
        <f t="shared" si="12"/>
        <v>115000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8">
        <f t="shared" si="2"/>
        <v>200000</v>
      </c>
      <c r="Z39" s="21">
        <f t="shared" si="9"/>
        <v>0</v>
      </c>
    </row>
    <row r="40" spans="1:26" ht="18.75">
      <c r="A40" s="35"/>
      <c r="B40" s="36"/>
      <c r="C40" s="46" t="s">
        <v>53</v>
      </c>
      <c r="D40" s="16">
        <f t="shared" si="6"/>
        <v>200000</v>
      </c>
      <c r="E40" s="18"/>
      <c r="F40" s="47">
        <f t="shared" si="7"/>
        <v>200000</v>
      </c>
      <c r="G40" s="47">
        <v>200000</v>
      </c>
      <c r="H40" s="47">
        <f>28000</f>
        <v>28000</v>
      </c>
      <c r="I40" s="16">
        <f t="shared" si="10"/>
        <v>14.000000000000002</v>
      </c>
      <c r="J40" s="71">
        <f t="shared" si="11"/>
        <v>24.347826086956523</v>
      </c>
      <c r="L40" s="68">
        <f t="shared" si="12"/>
        <v>87000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8">
        <f t="shared" si="2"/>
        <v>200000</v>
      </c>
      <c r="Z40" s="21">
        <f t="shared" si="9"/>
        <v>0</v>
      </c>
    </row>
    <row r="41" spans="1:26" ht="37.5">
      <c r="A41" s="35"/>
      <c r="B41" s="36"/>
      <c r="C41" s="46" t="s">
        <v>54</v>
      </c>
      <c r="D41" s="16">
        <f t="shared" si="6"/>
        <v>183000</v>
      </c>
      <c r="E41" s="18"/>
      <c r="F41" s="47">
        <f t="shared" si="7"/>
        <v>183000</v>
      </c>
      <c r="G41" s="47">
        <v>183000</v>
      </c>
      <c r="H41" s="47">
        <f>182577.11</f>
        <v>182577.11</v>
      </c>
      <c r="I41" s="16">
        <f t="shared" si="10"/>
        <v>99.768912568306</v>
      </c>
      <c r="J41" s="71">
        <f t="shared" si="11"/>
        <v>99.768912568306</v>
      </c>
      <c r="L41" s="68">
        <f t="shared" si="12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8">
        <f t="shared" si="2"/>
        <v>183000</v>
      </c>
      <c r="Z41" s="21">
        <f t="shared" si="9"/>
        <v>0</v>
      </c>
    </row>
    <row r="42" spans="1:26" ht="18.75">
      <c r="A42" s="35"/>
      <c r="B42" s="36"/>
      <c r="C42" s="46" t="s">
        <v>55</v>
      </c>
      <c r="D42" s="16">
        <f t="shared" si="6"/>
        <v>200000</v>
      </c>
      <c r="E42" s="18"/>
      <c r="F42" s="47">
        <f t="shared" si="7"/>
        <v>200000</v>
      </c>
      <c r="G42" s="47">
        <v>200000</v>
      </c>
      <c r="H42" s="47"/>
      <c r="I42" s="29">
        <f t="shared" si="10"/>
        <v>0</v>
      </c>
      <c r="J42" s="71">
        <f t="shared" si="11"/>
        <v>0</v>
      </c>
      <c r="L42" s="68">
        <f t="shared" si="12"/>
        <v>115000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8">
        <f t="shared" si="2"/>
        <v>200000</v>
      </c>
      <c r="Z42" s="21">
        <f t="shared" si="9"/>
        <v>0</v>
      </c>
    </row>
    <row r="43" spans="1:26" ht="37.5">
      <c r="A43" s="35"/>
      <c r="B43" s="36"/>
      <c r="C43" s="46" t="s">
        <v>56</v>
      </c>
      <c r="D43" s="16">
        <f t="shared" si="6"/>
        <v>450000</v>
      </c>
      <c r="E43" s="18"/>
      <c r="F43" s="47">
        <f t="shared" si="7"/>
        <v>450000</v>
      </c>
      <c r="G43" s="50">
        <v>450000</v>
      </c>
      <c r="H43" s="47"/>
      <c r="I43" s="29">
        <f t="shared" si="10"/>
        <v>0</v>
      </c>
      <c r="J43" s="71">
        <f t="shared" si="11"/>
        <v>0</v>
      </c>
      <c r="L43" s="68">
        <f t="shared" si="12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8">
        <f t="shared" si="2"/>
        <v>450000</v>
      </c>
      <c r="Z43" s="21">
        <f t="shared" si="9"/>
        <v>0</v>
      </c>
    </row>
    <row r="44" spans="1:26" ht="18.75">
      <c r="A44" s="35"/>
      <c r="B44" s="36"/>
      <c r="C44" s="46" t="s">
        <v>57</v>
      </c>
      <c r="D44" s="16">
        <f t="shared" si="6"/>
        <v>163736</v>
      </c>
      <c r="E44" s="18"/>
      <c r="F44" s="47">
        <f t="shared" si="7"/>
        <v>163736</v>
      </c>
      <c r="G44" s="50">
        <v>163736</v>
      </c>
      <c r="H44" s="47"/>
      <c r="I44" s="29">
        <f t="shared" si="10"/>
        <v>0</v>
      </c>
      <c r="J44" s="71" t="e">
        <f t="shared" si="11"/>
        <v>#DIV/0!</v>
      </c>
      <c r="L44" s="68">
        <f t="shared" si="12"/>
        <v>0</v>
      </c>
      <c r="M44" s="6"/>
      <c r="N44" s="6"/>
      <c r="O44" s="48"/>
      <c r="P44" s="48">
        <f>163736-163736</f>
        <v>0</v>
      </c>
      <c r="Q44" s="48"/>
      <c r="R44" s="48"/>
      <c r="S44" s="48"/>
      <c r="T44" s="48"/>
      <c r="U44" s="49">
        <f>163736</f>
        <v>163736</v>
      </c>
      <c r="V44" s="49"/>
      <c r="W44" s="49"/>
      <c r="X44" s="49"/>
      <c r="Y44" s="68">
        <f t="shared" si="2"/>
        <v>163736</v>
      </c>
      <c r="Z44" s="21">
        <f t="shared" si="9"/>
        <v>0</v>
      </c>
    </row>
    <row r="45" spans="1:26" ht="37.5">
      <c r="A45" s="35"/>
      <c r="B45" s="36"/>
      <c r="C45" s="46" t="s">
        <v>58</v>
      </c>
      <c r="D45" s="16">
        <f t="shared" si="6"/>
        <v>262000</v>
      </c>
      <c r="E45" s="18"/>
      <c r="F45" s="47">
        <f t="shared" si="7"/>
        <v>262000</v>
      </c>
      <c r="G45" s="47">
        <v>262000</v>
      </c>
      <c r="H45" s="47"/>
      <c r="I45" s="29">
        <f t="shared" si="10"/>
        <v>0</v>
      </c>
      <c r="J45" s="71" t="e">
        <f t="shared" si="11"/>
        <v>#DIV/0!</v>
      </c>
      <c r="L45" s="68">
        <f t="shared" si="12"/>
        <v>0</v>
      </c>
      <c r="M45" s="6"/>
      <c r="N45" s="6"/>
      <c r="O45" s="48"/>
      <c r="P45" s="48">
        <f>262000-262000</f>
        <v>0</v>
      </c>
      <c r="Q45" s="48"/>
      <c r="R45" s="48"/>
      <c r="S45" s="48"/>
      <c r="T45" s="48"/>
      <c r="U45" s="49">
        <f>262000</f>
        <v>262000</v>
      </c>
      <c r="V45" s="49"/>
      <c r="W45" s="49"/>
      <c r="X45" s="49"/>
      <c r="Y45" s="68">
        <f t="shared" si="2"/>
        <v>262000</v>
      </c>
      <c r="Z45" s="21">
        <f t="shared" si="9"/>
        <v>0</v>
      </c>
    </row>
    <row r="46" spans="1:26" ht="18.75">
      <c r="A46" s="35"/>
      <c r="B46" s="36"/>
      <c r="C46" s="46" t="s">
        <v>59</v>
      </c>
      <c r="D46" s="16">
        <f t="shared" si="6"/>
        <v>145000</v>
      </c>
      <c r="E46" s="18"/>
      <c r="F46" s="47">
        <f t="shared" si="7"/>
        <v>145000</v>
      </c>
      <c r="G46" s="47">
        <v>145000</v>
      </c>
      <c r="H46" s="47"/>
      <c r="I46" s="29">
        <f t="shared" si="10"/>
        <v>0</v>
      </c>
      <c r="J46" s="71" t="e">
        <f t="shared" si="11"/>
        <v>#DIV/0!</v>
      </c>
      <c r="L46" s="68">
        <f t="shared" si="12"/>
        <v>0</v>
      </c>
      <c r="M46" s="6"/>
      <c r="N46" s="6"/>
      <c r="O46" s="48"/>
      <c r="P46" s="48">
        <f>145000-39000-106000</f>
        <v>0</v>
      </c>
      <c r="Q46" s="48"/>
      <c r="R46" s="48"/>
      <c r="S46" s="48">
        <f>39000+106000</f>
        <v>145000</v>
      </c>
      <c r="T46" s="48"/>
      <c r="U46" s="49"/>
      <c r="V46" s="49"/>
      <c r="W46" s="49"/>
      <c r="X46" s="49"/>
      <c r="Y46" s="68">
        <f t="shared" si="2"/>
        <v>145000</v>
      </c>
      <c r="Z46" s="21">
        <f t="shared" si="9"/>
        <v>0</v>
      </c>
    </row>
    <row r="47" spans="1:26" ht="37.5" hidden="1">
      <c r="A47" s="35"/>
      <c r="B47" s="36"/>
      <c r="C47" s="51" t="s">
        <v>60</v>
      </c>
      <c r="D47" s="16">
        <f t="shared" si="6"/>
        <v>0</v>
      </c>
      <c r="E47" s="18"/>
      <c r="F47" s="47">
        <f t="shared" si="7"/>
        <v>0</v>
      </c>
      <c r="G47" s="50">
        <f>200000-200000</f>
        <v>0</v>
      </c>
      <c r="H47" s="47"/>
      <c r="I47" s="29" t="e">
        <f t="shared" si="10"/>
        <v>#DIV/0!</v>
      </c>
      <c r="J47" s="71" t="e">
        <f t="shared" si="11"/>
        <v>#DIV/0!</v>
      </c>
      <c r="L47" s="68">
        <f t="shared" si="12"/>
        <v>0</v>
      </c>
      <c r="M47" s="6"/>
      <c r="N47" s="6"/>
      <c r="O47" s="52"/>
      <c r="P47" s="52">
        <f>12000-12000</f>
        <v>0</v>
      </c>
      <c r="Q47" s="52"/>
      <c r="R47" s="52"/>
      <c r="S47" s="52">
        <f>98000-98000</f>
        <v>0</v>
      </c>
      <c r="T47" s="52"/>
      <c r="U47" s="49">
        <f>90000-90000</f>
        <v>0</v>
      </c>
      <c r="V47" s="49"/>
      <c r="W47" s="49"/>
      <c r="X47" s="49"/>
      <c r="Y47" s="68">
        <f t="shared" si="2"/>
        <v>0</v>
      </c>
      <c r="Z47" s="21">
        <f t="shared" si="9"/>
        <v>0</v>
      </c>
    </row>
    <row r="48" spans="1:26" ht="37.5">
      <c r="A48" s="35"/>
      <c r="B48" s="36"/>
      <c r="C48" s="46" t="s">
        <v>61</v>
      </c>
      <c r="D48" s="16">
        <f t="shared" si="6"/>
        <v>600000</v>
      </c>
      <c r="E48" s="18"/>
      <c r="F48" s="47">
        <f t="shared" si="7"/>
        <v>600000</v>
      </c>
      <c r="G48" s="50">
        <v>600000</v>
      </c>
      <c r="H48" s="47">
        <f>414000</f>
        <v>414000</v>
      </c>
      <c r="I48" s="16">
        <f t="shared" si="10"/>
        <v>69</v>
      </c>
      <c r="J48" s="71">
        <f t="shared" si="11"/>
        <v>95.39170506912443</v>
      </c>
      <c r="L48" s="68">
        <f t="shared" si="12"/>
        <v>20000</v>
      </c>
      <c r="M48" s="6"/>
      <c r="N48" s="6"/>
      <c r="O48" s="48"/>
      <c r="P48" s="48">
        <f>400000-166000</f>
        <v>234000</v>
      </c>
      <c r="Q48" s="48"/>
      <c r="R48" s="48">
        <v>200000</v>
      </c>
      <c r="S48" s="48">
        <f>136000</f>
        <v>136000</v>
      </c>
      <c r="T48" s="48"/>
      <c r="U48" s="79"/>
      <c r="V48" s="79">
        <f>30000</f>
        <v>30000</v>
      </c>
      <c r="W48" s="49"/>
      <c r="X48" s="49"/>
      <c r="Y48" s="68">
        <f t="shared" si="2"/>
        <v>600000</v>
      </c>
      <c r="Z48" s="21">
        <f t="shared" si="9"/>
        <v>0</v>
      </c>
    </row>
    <row r="49" spans="1:26" ht="18.75">
      <c r="A49" s="35"/>
      <c r="B49" s="36"/>
      <c r="C49" s="46" t="s">
        <v>62</v>
      </c>
      <c r="D49" s="16">
        <f t="shared" si="6"/>
        <v>161000</v>
      </c>
      <c r="E49" s="18"/>
      <c r="F49" s="47">
        <f t="shared" si="7"/>
        <v>161000</v>
      </c>
      <c r="G49" s="47">
        <f>252000-91000</f>
        <v>161000</v>
      </c>
      <c r="H49" s="47"/>
      <c r="I49" s="29">
        <f t="shared" si="10"/>
        <v>0</v>
      </c>
      <c r="J49" s="71">
        <f t="shared" si="11"/>
        <v>0</v>
      </c>
      <c r="L49" s="68">
        <f t="shared" si="12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8">
        <f t="shared" si="2"/>
        <v>161000</v>
      </c>
      <c r="Z49" s="21">
        <f t="shared" si="9"/>
        <v>0</v>
      </c>
    </row>
    <row r="50" spans="1:26" ht="37.5">
      <c r="A50" s="35"/>
      <c r="B50" s="36"/>
      <c r="C50" s="46" t="s">
        <v>63</v>
      </c>
      <c r="D50" s="16">
        <f t="shared" si="6"/>
        <v>283000</v>
      </c>
      <c r="E50" s="18"/>
      <c r="F50" s="47">
        <f t="shared" si="7"/>
        <v>283000</v>
      </c>
      <c r="G50" s="47">
        <v>283000</v>
      </c>
      <c r="H50" s="47"/>
      <c r="I50" s="29">
        <f t="shared" si="10"/>
        <v>0</v>
      </c>
      <c r="J50" s="71">
        <f t="shared" si="11"/>
        <v>0</v>
      </c>
      <c r="L50" s="68">
        <f t="shared" si="12"/>
        <v>29100</v>
      </c>
      <c r="M50" s="6"/>
      <c r="N50" s="6"/>
      <c r="O50" s="48"/>
      <c r="P50" s="48"/>
      <c r="Q50" s="48">
        <f>283000-253900</f>
        <v>29100</v>
      </c>
      <c r="R50" s="48"/>
      <c r="S50" s="48">
        <f>253900</f>
        <v>253900</v>
      </c>
      <c r="T50" s="48"/>
      <c r="U50" s="49"/>
      <c r="V50" s="49"/>
      <c r="W50" s="49"/>
      <c r="X50" s="49"/>
      <c r="Y50" s="68">
        <f t="shared" si="2"/>
        <v>283000</v>
      </c>
      <c r="Z50" s="21">
        <f t="shared" si="9"/>
        <v>0</v>
      </c>
    </row>
    <row r="51" spans="1:26" ht="37.5">
      <c r="A51" s="35"/>
      <c r="B51" s="36"/>
      <c r="C51" s="46" t="s">
        <v>64</v>
      </c>
      <c r="D51" s="16">
        <f t="shared" si="6"/>
        <v>1192000</v>
      </c>
      <c r="E51" s="18"/>
      <c r="F51" s="47">
        <f t="shared" si="7"/>
        <v>1192000</v>
      </c>
      <c r="G51" s="47">
        <v>1192000</v>
      </c>
      <c r="H51" s="47">
        <f>940100+235033.86+16550</f>
        <v>1191683.8599999999</v>
      </c>
      <c r="I51" s="16">
        <f t="shared" si="10"/>
        <v>99.97347818791945</v>
      </c>
      <c r="J51" s="71">
        <f t="shared" si="11"/>
        <v>99.97347818791945</v>
      </c>
      <c r="L51" s="68">
        <f t="shared" si="12"/>
        <v>316.1400000001304</v>
      </c>
      <c r="M51" s="6"/>
      <c r="N51" s="6"/>
      <c r="O51" s="48"/>
      <c r="P51" s="48">
        <f>600000+340100</f>
        <v>940100</v>
      </c>
      <c r="Q51" s="48">
        <f>251900</f>
        <v>251900</v>
      </c>
      <c r="R51" s="48"/>
      <c r="S51" s="48">
        <f>592000-340100-251900</f>
        <v>0</v>
      </c>
      <c r="T51" s="48"/>
      <c r="U51" s="49"/>
      <c r="V51" s="49"/>
      <c r="W51" s="49"/>
      <c r="X51" s="49"/>
      <c r="Y51" s="68">
        <f t="shared" si="2"/>
        <v>1192000</v>
      </c>
      <c r="Z51" s="21">
        <f t="shared" si="9"/>
        <v>0</v>
      </c>
    </row>
    <row r="52" spans="1:26" ht="37.5">
      <c r="A52" s="35"/>
      <c r="B52" s="36"/>
      <c r="C52" s="46" t="s">
        <v>65</v>
      </c>
      <c r="D52" s="16">
        <f t="shared" si="6"/>
        <v>325000</v>
      </c>
      <c r="E52" s="18"/>
      <c r="F52" s="47">
        <f t="shared" si="7"/>
        <v>325000</v>
      </c>
      <c r="G52" s="47">
        <v>325000</v>
      </c>
      <c r="H52" s="47">
        <f>304965.4</f>
        <v>304965.4</v>
      </c>
      <c r="I52" s="16">
        <f t="shared" si="10"/>
        <v>93.8355076923077</v>
      </c>
      <c r="J52" s="71">
        <f t="shared" si="11"/>
        <v>93.8355076923077</v>
      </c>
      <c r="L52" s="68">
        <f t="shared" si="12"/>
        <v>20034.599999999977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8">
        <f t="shared" si="2"/>
        <v>325000</v>
      </c>
      <c r="Z52" s="21">
        <f t="shared" si="9"/>
        <v>0</v>
      </c>
    </row>
    <row r="53" spans="1:26" ht="37.5">
      <c r="A53" s="35"/>
      <c r="B53" s="36"/>
      <c r="C53" s="46" t="s">
        <v>66</v>
      </c>
      <c r="D53" s="16">
        <f t="shared" si="6"/>
        <v>250000</v>
      </c>
      <c r="E53" s="18"/>
      <c r="F53" s="47">
        <f t="shared" si="7"/>
        <v>250000</v>
      </c>
      <c r="G53" s="50">
        <v>250000</v>
      </c>
      <c r="H53" s="47">
        <f>17000</f>
        <v>17000</v>
      </c>
      <c r="I53" s="16">
        <f t="shared" si="10"/>
        <v>6.800000000000001</v>
      </c>
      <c r="J53" s="71">
        <f t="shared" si="11"/>
        <v>100</v>
      </c>
      <c r="L53" s="68">
        <f t="shared" si="12"/>
        <v>0</v>
      </c>
      <c r="M53" s="6"/>
      <c r="N53" s="6"/>
      <c r="O53" s="48"/>
      <c r="P53" s="48">
        <v>15000</v>
      </c>
      <c r="Q53" s="48">
        <f>2000</f>
        <v>2000</v>
      </c>
      <c r="R53" s="48"/>
      <c r="S53" s="48">
        <f>170000-2000</f>
        <v>168000</v>
      </c>
      <c r="T53" s="48">
        <v>65000</v>
      </c>
      <c r="U53" s="49"/>
      <c r="V53" s="49"/>
      <c r="W53" s="49"/>
      <c r="X53" s="49"/>
      <c r="Y53" s="68">
        <f t="shared" si="2"/>
        <v>250000</v>
      </c>
      <c r="Z53" s="21">
        <f t="shared" si="9"/>
        <v>0</v>
      </c>
    </row>
    <row r="54" spans="1:26" ht="18.75">
      <c r="A54" s="35"/>
      <c r="B54" s="36"/>
      <c r="C54" s="46" t="s">
        <v>67</v>
      </c>
      <c r="D54" s="16">
        <f t="shared" si="6"/>
        <v>905656</v>
      </c>
      <c r="E54" s="18"/>
      <c r="F54" s="47">
        <f t="shared" si="7"/>
        <v>905656</v>
      </c>
      <c r="G54" s="47">
        <v>905656</v>
      </c>
      <c r="H54" s="47">
        <f>663625.68</f>
        <v>663625.68</v>
      </c>
      <c r="I54" s="16">
        <f t="shared" si="10"/>
        <v>73.27568966583338</v>
      </c>
      <c r="J54" s="71">
        <f t="shared" si="11"/>
        <v>73.27568966583338</v>
      </c>
      <c r="L54" s="68">
        <f t="shared" si="12"/>
        <v>242030.31999999995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8">
        <f t="shared" si="2"/>
        <v>905656</v>
      </c>
      <c r="Z54" s="21">
        <f t="shared" si="9"/>
        <v>0</v>
      </c>
    </row>
    <row r="55" spans="1:26" ht="37.5">
      <c r="A55" s="35"/>
      <c r="B55" s="36"/>
      <c r="C55" s="46" t="s">
        <v>68</v>
      </c>
      <c r="D55" s="16">
        <f t="shared" si="6"/>
        <v>600000</v>
      </c>
      <c r="E55" s="18"/>
      <c r="F55" s="47">
        <f t="shared" si="7"/>
        <v>600000</v>
      </c>
      <c r="G55" s="47">
        <f>3500000-2900000</f>
        <v>600000</v>
      </c>
      <c r="H55" s="47"/>
      <c r="I55" s="29">
        <f t="shared" si="10"/>
        <v>0</v>
      </c>
      <c r="J55" s="71" t="e">
        <f t="shared" si="11"/>
        <v>#DIV/0!</v>
      </c>
      <c r="L55" s="68">
        <f t="shared" si="12"/>
        <v>0</v>
      </c>
      <c r="M55" s="6"/>
      <c r="N55" s="6"/>
      <c r="O55" s="48"/>
      <c r="P55" s="48"/>
      <c r="Q55" s="48"/>
      <c r="R55" s="48">
        <f>300000-300000</f>
        <v>0</v>
      </c>
      <c r="S55" s="48">
        <f>300000</f>
        <v>300000</v>
      </c>
      <c r="T55" s="48">
        <v>300000</v>
      </c>
      <c r="U55" s="49"/>
      <c r="V55" s="49"/>
      <c r="W55" s="49"/>
      <c r="X55" s="49"/>
      <c r="Y55" s="68">
        <f t="shared" si="2"/>
        <v>600000</v>
      </c>
      <c r="Z55" s="21">
        <f t="shared" si="9"/>
        <v>0</v>
      </c>
    </row>
    <row r="56" spans="1:26" ht="37.5">
      <c r="A56" s="35"/>
      <c r="B56" s="36"/>
      <c r="C56" s="46" t="s">
        <v>69</v>
      </c>
      <c r="D56" s="16">
        <f t="shared" si="6"/>
        <v>38043.27</v>
      </c>
      <c r="E56" s="18"/>
      <c r="F56" s="47">
        <f t="shared" si="7"/>
        <v>38043.27</v>
      </c>
      <c r="G56" s="47">
        <v>38043.27</v>
      </c>
      <c r="H56" s="47"/>
      <c r="I56" s="29">
        <f t="shared" si="10"/>
        <v>0</v>
      </c>
      <c r="J56" s="71">
        <f t="shared" si="11"/>
        <v>0</v>
      </c>
      <c r="L56" s="68">
        <f t="shared" si="12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8">
        <f t="shared" si="2"/>
        <v>38043.27</v>
      </c>
      <c r="Z56" s="21">
        <f t="shared" si="9"/>
        <v>0</v>
      </c>
    </row>
    <row r="57" spans="1:26" ht="37.5">
      <c r="A57" s="35"/>
      <c r="B57" s="36"/>
      <c r="C57" s="46" t="s">
        <v>70</v>
      </c>
      <c r="D57" s="16">
        <f t="shared" si="6"/>
        <v>303000</v>
      </c>
      <c r="E57" s="18"/>
      <c r="F57" s="47">
        <f t="shared" si="7"/>
        <v>303000</v>
      </c>
      <c r="G57" s="47">
        <v>303000</v>
      </c>
      <c r="H57" s="47">
        <f>292764.73+4169.59</f>
        <v>296934.32</v>
      </c>
      <c r="I57" s="16">
        <f t="shared" si="10"/>
        <v>97.99812541254126</v>
      </c>
      <c r="J57" s="71">
        <f t="shared" si="11"/>
        <v>97.99812541254126</v>
      </c>
      <c r="L57" s="68">
        <f t="shared" si="12"/>
        <v>6065.679999999993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8">
        <f t="shared" si="2"/>
        <v>303000</v>
      </c>
      <c r="Z57" s="21">
        <f t="shared" si="9"/>
        <v>0</v>
      </c>
    </row>
    <row r="58" spans="1:26" ht="18.75">
      <c r="A58" s="35"/>
      <c r="B58" s="36"/>
      <c r="C58" s="46" t="s">
        <v>71</v>
      </c>
      <c r="D58" s="16">
        <f t="shared" si="6"/>
        <v>359000</v>
      </c>
      <c r="E58" s="18"/>
      <c r="F58" s="47">
        <f t="shared" si="7"/>
        <v>359000</v>
      </c>
      <c r="G58" s="47">
        <v>359000</v>
      </c>
      <c r="H58" s="47">
        <f>274488.71</f>
        <v>274488.71</v>
      </c>
      <c r="I58" s="16">
        <f t="shared" si="10"/>
        <v>76.45925069637883</v>
      </c>
      <c r="J58" s="71">
        <f t="shared" si="11"/>
        <v>99.99588706739527</v>
      </c>
      <c r="L58" s="68">
        <f t="shared" si="12"/>
        <v>11.289999999979045</v>
      </c>
      <c r="M58" s="6"/>
      <c r="N58" s="6"/>
      <c r="O58" s="48"/>
      <c r="P58" s="48"/>
      <c r="Q58" s="48">
        <f>274500</f>
        <v>274500</v>
      </c>
      <c r="R58" s="48"/>
      <c r="S58" s="48">
        <f>359000-274500</f>
        <v>84500</v>
      </c>
      <c r="T58" s="48"/>
      <c r="U58" s="49"/>
      <c r="V58" s="49"/>
      <c r="W58" s="49"/>
      <c r="X58" s="49"/>
      <c r="Y58" s="68">
        <f t="shared" si="2"/>
        <v>359000</v>
      </c>
      <c r="Z58" s="21">
        <f t="shared" si="9"/>
        <v>0</v>
      </c>
    </row>
    <row r="59" spans="1:26" ht="18.75">
      <c r="A59" s="35"/>
      <c r="B59" s="36"/>
      <c r="C59" s="46" t="s">
        <v>72</v>
      </c>
      <c r="D59" s="16">
        <f t="shared" si="6"/>
        <v>1604835.45</v>
      </c>
      <c r="E59" s="18"/>
      <c r="F59" s="47">
        <f t="shared" si="7"/>
        <v>1604835.45</v>
      </c>
      <c r="G59" s="47">
        <f>1700000-95164.55</f>
        <v>1604835.45</v>
      </c>
      <c r="H59" s="47">
        <f>250000</f>
        <v>250000</v>
      </c>
      <c r="I59" s="16">
        <f t="shared" si="10"/>
        <v>15.577921088420624</v>
      </c>
      <c r="J59" s="71">
        <f t="shared" si="11"/>
        <v>100</v>
      </c>
      <c r="L59" s="68">
        <f t="shared" si="12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1000000-150000-95164.55</f>
        <v>754835.45</v>
      </c>
      <c r="T59" s="48">
        <v>600000</v>
      </c>
      <c r="U59" s="49"/>
      <c r="V59" s="49"/>
      <c r="W59" s="49"/>
      <c r="X59" s="49"/>
      <c r="Y59" s="68">
        <f t="shared" si="2"/>
        <v>1604835.45</v>
      </c>
      <c r="Z59" s="21">
        <f t="shared" si="9"/>
        <v>0</v>
      </c>
    </row>
    <row r="60" spans="1:26" ht="18.75">
      <c r="A60" s="35"/>
      <c r="B60" s="36"/>
      <c r="C60" s="46" t="s">
        <v>73</v>
      </c>
      <c r="D60" s="16">
        <f t="shared" si="6"/>
        <v>1510000</v>
      </c>
      <c r="E60" s="18"/>
      <c r="F60" s="47">
        <f t="shared" si="7"/>
        <v>1510000</v>
      </c>
      <c r="G60" s="47">
        <f>1790000-280000</f>
        <v>1510000</v>
      </c>
      <c r="H60" s="47"/>
      <c r="I60" s="29">
        <f t="shared" si="10"/>
        <v>0</v>
      </c>
      <c r="J60" s="71" t="e">
        <f t="shared" si="11"/>
        <v>#DIV/0!</v>
      </c>
      <c r="L60" s="68">
        <f t="shared" si="12"/>
        <v>0</v>
      </c>
      <c r="M60" s="6"/>
      <c r="N60" s="6"/>
      <c r="O60" s="48"/>
      <c r="P60" s="48"/>
      <c r="Q60" s="48"/>
      <c r="R60" s="48">
        <f>800000-800000</f>
        <v>0</v>
      </c>
      <c r="S60" s="48">
        <f>800000</f>
        <v>800000</v>
      </c>
      <c r="T60" s="48"/>
      <c r="U60" s="49">
        <v>710000</v>
      </c>
      <c r="V60" s="49"/>
      <c r="W60" s="49"/>
      <c r="X60" s="49"/>
      <c r="Y60" s="68">
        <f t="shared" si="2"/>
        <v>1510000</v>
      </c>
      <c r="Z60" s="21">
        <f t="shared" si="9"/>
        <v>0</v>
      </c>
    </row>
    <row r="61" spans="1:26" ht="18.75">
      <c r="A61" s="35"/>
      <c r="B61" s="36"/>
      <c r="C61" s="46" t="s">
        <v>74</v>
      </c>
      <c r="D61" s="16">
        <f t="shared" si="6"/>
        <v>7979000</v>
      </c>
      <c r="E61" s="18"/>
      <c r="F61" s="47">
        <f t="shared" si="7"/>
        <v>7979000</v>
      </c>
      <c r="G61" s="47">
        <f>10479000-7000000+1500000+2900000+100000</f>
        <v>7979000</v>
      </c>
      <c r="H61" s="47"/>
      <c r="I61" s="29">
        <f t="shared" si="10"/>
        <v>0</v>
      </c>
      <c r="J61" s="71">
        <f t="shared" si="11"/>
        <v>0</v>
      </c>
      <c r="L61" s="68">
        <f t="shared" si="12"/>
        <v>2919075.7199999997</v>
      </c>
      <c r="M61" s="6"/>
      <c r="N61" s="6"/>
      <c r="O61" s="48"/>
      <c r="P61" s="79">
        <f>3930000-1414490.15-46100-239000-570000+56675.72</f>
        <v>1717085.57</v>
      </c>
      <c r="Q61" s="79">
        <f>1414490.15+24000-274500</f>
        <v>1163990.15</v>
      </c>
      <c r="R61" s="79">
        <f>38000</f>
        <v>38000</v>
      </c>
      <c r="S61" s="79">
        <f>3949000+46100+155000+395000+274500+43324.28</f>
        <v>4862924.28</v>
      </c>
      <c r="T61" s="79">
        <v>22000</v>
      </c>
      <c r="U61" s="79"/>
      <c r="V61" s="79">
        <v>175000</v>
      </c>
      <c r="W61" s="79"/>
      <c r="X61" s="49"/>
      <c r="Y61" s="68">
        <f t="shared" si="2"/>
        <v>7979000</v>
      </c>
      <c r="Z61" s="21">
        <f t="shared" si="9"/>
        <v>0</v>
      </c>
    </row>
    <row r="62" spans="1:26" ht="37.5">
      <c r="A62" s="35"/>
      <c r="B62" s="36"/>
      <c r="C62" s="46" t="s">
        <v>75</v>
      </c>
      <c r="D62" s="16">
        <f t="shared" si="6"/>
        <v>5524039</v>
      </c>
      <c r="E62" s="18"/>
      <c r="F62" s="47">
        <f t="shared" si="7"/>
        <v>5524039</v>
      </c>
      <c r="G62" s="47">
        <f>7024039-1500000</f>
        <v>5524039</v>
      </c>
      <c r="H62" s="47">
        <f>130000</f>
        <v>130000</v>
      </c>
      <c r="I62" s="80">
        <f t="shared" si="10"/>
        <v>2.353350510378366</v>
      </c>
      <c r="J62" s="71">
        <f t="shared" si="11"/>
        <v>100</v>
      </c>
      <c r="L62" s="68">
        <f t="shared" si="12"/>
        <v>0</v>
      </c>
      <c r="M62" s="6"/>
      <c r="N62" s="6"/>
      <c r="O62" s="48"/>
      <c r="P62" s="79">
        <f>50000+80000</f>
        <v>130000</v>
      </c>
      <c r="Q62" s="79"/>
      <c r="R62" s="79"/>
      <c r="S62" s="79">
        <f>3500000-80000</f>
        <v>3420000</v>
      </c>
      <c r="T62" s="79"/>
      <c r="U62" s="79"/>
      <c r="V62" s="79">
        <f>3474039-1500000</f>
        <v>1974039</v>
      </c>
      <c r="W62" s="49"/>
      <c r="X62" s="49"/>
      <c r="Y62" s="68">
        <f t="shared" si="2"/>
        <v>5524039</v>
      </c>
      <c r="Z62" s="21">
        <f t="shared" si="9"/>
        <v>0</v>
      </c>
    </row>
    <row r="63" spans="1:26" ht="18.75">
      <c r="A63" s="35"/>
      <c r="B63" s="36"/>
      <c r="C63" s="46" t="s">
        <v>76</v>
      </c>
      <c r="D63" s="16">
        <f t="shared" si="6"/>
        <v>3976000</v>
      </c>
      <c r="E63" s="18"/>
      <c r="F63" s="47">
        <f t="shared" si="7"/>
        <v>3976000</v>
      </c>
      <c r="G63" s="47">
        <v>3976000</v>
      </c>
      <c r="H63" s="47">
        <f>1000000+500000</f>
        <v>1500000</v>
      </c>
      <c r="I63" s="16">
        <f t="shared" si="10"/>
        <v>37.726358148893354</v>
      </c>
      <c r="J63" s="71">
        <f t="shared" si="11"/>
        <v>100</v>
      </c>
      <c r="L63" s="68">
        <f t="shared" si="12"/>
        <v>0</v>
      </c>
      <c r="M63" s="6"/>
      <c r="N63" s="6"/>
      <c r="O63" s="48">
        <f>1000000+168750</f>
        <v>1168750</v>
      </c>
      <c r="P63" s="48">
        <f>331250</f>
        <v>331250</v>
      </c>
      <c r="Q63" s="48"/>
      <c r="R63" s="48"/>
      <c r="S63" s="48"/>
      <c r="T63" s="48"/>
      <c r="U63" s="49">
        <f>1976000-500000</f>
        <v>1476000</v>
      </c>
      <c r="V63" s="49"/>
      <c r="W63" s="49">
        <v>1000000</v>
      </c>
      <c r="X63" s="49"/>
      <c r="Y63" s="68">
        <f t="shared" si="2"/>
        <v>3976000</v>
      </c>
      <c r="Z63" s="21">
        <f t="shared" si="9"/>
        <v>0</v>
      </c>
    </row>
    <row r="64" spans="1:26" ht="18.75">
      <c r="A64" s="35"/>
      <c r="B64" s="36"/>
      <c r="C64" s="46" t="s">
        <v>77</v>
      </c>
      <c r="D64" s="16">
        <f t="shared" si="6"/>
        <v>2733000</v>
      </c>
      <c r="E64" s="18"/>
      <c r="F64" s="47">
        <f t="shared" si="7"/>
        <v>2733000</v>
      </c>
      <c r="G64" s="47">
        <v>2733000</v>
      </c>
      <c r="H64" s="47">
        <f>1348500+1160481.22+16102.12</f>
        <v>2525083.34</v>
      </c>
      <c r="I64" s="16">
        <f t="shared" si="10"/>
        <v>92.39236516648371</v>
      </c>
      <c r="J64" s="71">
        <f t="shared" si="11"/>
        <v>92.39236516648371</v>
      </c>
      <c r="L64" s="68">
        <f t="shared" si="12"/>
        <v>207916.66000000015</v>
      </c>
      <c r="M64" s="6"/>
      <c r="N64" s="6"/>
      <c r="O64" s="48"/>
      <c r="P64" s="48">
        <f>1400000+161000</f>
        <v>1561000</v>
      </c>
      <c r="Q64" s="48">
        <f>72000</f>
        <v>72000</v>
      </c>
      <c r="R64" s="48">
        <f>1100000</f>
        <v>1100000</v>
      </c>
      <c r="S64" s="48">
        <f>1333000-1333000</f>
        <v>0</v>
      </c>
      <c r="T64" s="48"/>
      <c r="U64" s="49"/>
      <c r="V64" s="49"/>
      <c r="W64" s="49"/>
      <c r="X64" s="49"/>
      <c r="Y64" s="68">
        <f t="shared" si="2"/>
        <v>2733000</v>
      </c>
      <c r="Z64" s="21">
        <f t="shared" si="9"/>
        <v>0</v>
      </c>
    </row>
    <row r="65" spans="1:26" ht="18.75">
      <c r="A65" s="35"/>
      <c r="B65" s="36"/>
      <c r="C65" s="53" t="s">
        <v>78</v>
      </c>
      <c r="D65" s="16">
        <f t="shared" si="6"/>
        <v>86813.52</v>
      </c>
      <c r="E65" s="18"/>
      <c r="F65" s="47">
        <f t="shared" si="7"/>
        <v>86813.52</v>
      </c>
      <c r="G65" s="54">
        <v>86813.52</v>
      </c>
      <c r="H65" s="47"/>
      <c r="I65" s="29">
        <f t="shared" si="10"/>
        <v>0</v>
      </c>
      <c r="J65" s="71" t="e">
        <f t="shared" si="11"/>
        <v>#DIV/0!</v>
      </c>
      <c r="L65" s="68">
        <f t="shared" si="12"/>
        <v>0</v>
      </c>
      <c r="M65" s="6"/>
      <c r="N65" s="6"/>
      <c r="O65" s="55"/>
      <c r="P65" s="55">
        <f>86813.52-86813.52</f>
        <v>0</v>
      </c>
      <c r="Q65" s="55"/>
      <c r="R65" s="55"/>
      <c r="S65" s="55">
        <f>86813.52</f>
        <v>86813.52</v>
      </c>
      <c r="T65" s="55"/>
      <c r="U65" s="49"/>
      <c r="V65" s="49"/>
      <c r="W65" s="49"/>
      <c r="X65" s="49"/>
      <c r="Y65" s="68">
        <f t="shared" si="2"/>
        <v>86813.52</v>
      </c>
      <c r="Z65" s="21">
        <f t="shared" si="9"/>
        <v>0</v>
      </c>
    </row>
    <row r="66" spans="1:26" ht="18.75">
      <c r="A66" s="35"/>
      <c r="B66" s="36"/>
      <c r="C66" s="53" t="s">
        <v>79</v>
      </c>
      <c r="D66" s="16">
        <f t="shared" si="6"/>
        <v>114582.07</v>
      </c>
      <c r="E66" s="18"/>
      <c r="F66" s="47">
        <f t="shared" si="7"/>
        <v>114582.07</v>
      </c>
      <c r="G66" s="54">
        <v>114582.07</v>
      </c>
      <c r="H66" s="47"/>
      <c r="I66" s="29">
        <f t="shared" si="10"/>
        <v>0</v>
      </c>
      <c r="J66" s="71" t="e">
        <f t="shared" si="11"/>
        <v>#DIV/0!</v>
      </c>
      <c r="L66" s="68">
        <f t="shared" si="12"/>
        <v>0</v>
      </c>
      <c r="M66" s="6"/>
      <c r="N66" s="6"/>
      <c r="O66" s="55"/>
      <c r="P66" s="55">
        <f>114582.07-114582.07</f>
        <v>0</v>
      </c>
      <c r="Q66" s="55"/>
      <c r="R66" s="55"/>
      <c r="S66" s="55">
        <v>114582.07</v>
      </c>
      <c r="T66" s="55"/>
      <c r="U66" s="49"/>
      <c r="V66" s="49"/>
      <c r="W66" s="49"/>
      <c r="X66" s="49"/>
      <c r="Y66" s="68">
        <f t="shared" si="2"/>
        <v>114582.07</v>
      </c>
      <c r="Z66" s="21">
        <f t="shared" si="9"/>
        <v>0</v>
      </c>
    </row>
    <row r="67" spans="1:26" ht="18.75">
      <c r="A67" s="35"/>
      <c r="B67" s="36"/>
      <c r="C67" s="53" t="s">
        <v>80</v>
      </c>
      <c r="D67" s="16">
        <f t="shared" si="6"/>
        <v>176384.92</v>
      </c>
      <c r="E67" s="18"/>
      <c r="F67" s="47">
        <f t="shared" si="7"/>
        <v>176384.92</v>
      </c>
      <c r="G67" s="54">
        <v>176384.92</v>
      </c>
      <c r="H67" s="47"/>
      <c r="I67" s="29">
        <f t="shared" si="10"/>
        <v>0</v>
      </c>
      <c r="J67" s="71" t="e">
        <f t="shared" si="11"/>
        <v>#DIV/0!</v>
      </c>
      <c r="L67" s="68">
        <f t="shared" si="12"/>
        <v>0</v>
      </c>
      <c r="M67" s="6"/>
      <c r="N67" s="6"/>
      <c r="O67" s="55"/>
      <c r="P67" s="55">
        <f>176384.92-176384.92</f>
        <v>0</v>
      </c>
      <c r="Q67" s="55"/>
      <c r="R67" s="55"/>
      <c r="S67" s="55">
        <v>176384.92</v>
      </c>
      <c r="T67" s="55"/>
      <c r="U67" s="49"/>
      <c r="V67" s="49"/>
      <c r="W67" s="49"/>
      <c r="X67" s="49"/>
      <c r="Y67" s="68">
        <f t="shared" si="2"/>
        <v>176384.92</v>
      </c>
      <c r="Z67" s="21">
        <f t="shared" si="9"/>
        <v>0</v>
      </c>
    </row>
    <row r="68" spans="1:26" ht="18.75">
      <c r="A68" s="35"/>
      <c r="B68" s="36"/>
      <c r="C68" s="53" t="s">
        <v>81</v>
      </c>
      <c r="D68" s="16">
        <f t="shared" si="6"/>
        <v>376807.62</v>
      </c>
      <c r="E68" s="18"/>
      <c r="F68" s="47">
        <f t="shared" si="7"/>
        <v>376807.62</v>
      </c>
      <c r="G68" s="54">
        <v>376807.62</v>
      </c>
      <c r="H68" s="47"/>
      <c r="I68" s="29">
        <f t="shared" si="10"/>
        <v>0</v>
      </c>
      <c r="J68" s="71" t="e">
        <f t="shared" si="11"/>
        <v>#DIV/0!</v>
      </c>
      <c r="L68" s="68">
        <f t="shared" si="12"/>
        <v>0</v>
      </c>
      <c r="M68" s="6"/>
      <c r="N68" s="6"/>
      <c r="O68" s="55"/>
      <c r="P68" s="55">
        <f>376807.62-376807.62</f>
        <v>0</v>
      </c>
      <c r="Q68" s="55"/>
      <c r="R68" s="55"/>
      <c r="S68" s="55">
        <v>376807.62</v>
      </c>
      <c r="T68" s="55"/>
      <c r="U68" s="49"/>
      <c r="V68" s="49"/>
      <c r="W68" s="49"/>
      <c r="X68" s="49"/>
      <c r="Y68" s="68">
        <f t="shared" si="2"/>
        <v>376807.62</v>
      </c>
      <c r="Z68" s="21">
        <f t="shared" si="9"/>
        <v>0</v>
      </c>
    </row>
    <row r="69" spans="1:26" ht="37.5">
      <c r="A69" s="35"/>
      <c r="B69" s="36"/>
      <c r="C69" s="53" t="s">
        <v>82</v>
      </c>
      <c r="D69" s="16">
        <f t="shared" si="6"/>
        <v>1245411.87</v>
      </c>
      <c r="E69" s="18"/>
      <c r="F69" s="47">
        <f t="shared" si="7"/>
        <v>1245411.87</v>
      </c>
      <c r="G69" s="54">
        <v>1245411.87</v>
      </c>
      <c r="H69" s="47">
        <f>1000000+56000</f>
        <v>1056000</v>
      </c>
      <c r="I69" s="16">
        <f t="shared" si="10"/>
        <v>84.7912265361659</v>
      </c>
      <c r="J69" s="71">
        <f t="shared" si="11"/>
        <v>100</v>
      </c>
      <c r="L69" s="68">
        <f t="shared" si="12"/>
        <v>0</v>
      </c>
      <c r="M69" s="6"/>
      <c r="N69" s="6"/>
      <c r="O69" s="55"/>
      <c r="P69" s="55">
        <f>56000+754588.13</f>
        <v>810588.13</v>
      </c>
      <c r="Q69" s="55">
        <v>245411.87</v>
      </c>
      <c r="R69" s="55"/>
      <c r="S69" s="55">
        <f>1245411.87-56000-1000000</f>
        <v>189411.8700000001</v>
      </c>
      <c r="T69" s="55"/>
      <c r="U69" s="49"/>
      <c r="V69" s="49"/>
      <c r="W69" s="49"/>
      <c r="X69" s="49"/>
      <c r="Y69" s="68">
        <f t="shared" si="2"/>
        <v>1245411.87</v>
      </c>
      <c r="Z69" s="21">
        <f t="shared" si="9"/>
        <v>0</v>
      </c>
    </row>
    <row r="70" spans="1:26" ht="18.75">
      <c r="A70" s="35"/>
      <c r="B70" s="36"/>
      <c r="C70" s="46" t="s">
        <v>83</v>
      </c>
      <c r="D70" s="16">
        <f t="shared" si="6"/>
        <v>115891.03</v>
      </c>
      <c r="E70" s="18"/>
      <c r="F70" s="47">
        <f t="shared" si="7"/>
        <v>115891.03</v>
      </c>
      <c r="G70" s="47">
        <v>115891.03</v>
      </c>
      <c r="H70" s="47"/>
      <c r="I70" s="29">
        <f t="shared" si="10"/>
        <v>0</v>
      </c>
      <c r="J70" s="71">
        <f t="shared" si="11"/>
        <v>0</v>
      </c>
      <c r="L70" s="68">
        <f t="shared" si="12"/>
        <v>115891.03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8">
        <f t="shared" si="2"/>
        <v>115891.03</v>
      </c>
      <c r="Z70" s="21">
        <f t="shared" si="9"/>
        <v>0</v>
      </c>
    </row>
    <row r="71" spans="1:26" ht="18.75">
      <c r="A71" s="35"/>
      <c r="B71" s="36"/>
      <c r="C71" s="46" t="s">
        <v>84</v>
      </c>
      <c r="D71" s="16">
        <f t="shared" si="6"/>
        <v>589358.97</v>
      </c>
      <c r="E71" s="18"/>
      <c r="F71" s="47">
        <f t="shared" si="7"/>
        <v>589358.97</v>
      </c>
      <c r="G71" s="47">
        <f>584108.97+5250</f>
        <v>589358.97</v>
      </c>
      <c r="H71" s="47">
        <f>286000</f>
        <v>286000</v>
      </c>
      <c r="I71" s="16">
        <f t="shared" si="10"/>
        <v>48.52730077222716</v>
      </c>
      <c r="J71" s="71">
        <f t="shared" si="11"/>
        <v>48.52730077222716</v>
      </c>
      <c r="L71" s="68">
        <f t="shared" si="12"/>
        <v>303358.97</v>
      </c>
      <c r="M71" s="6"/>
      <c r="N71" s="6"/>
      <c r="O71" s="79">
        <v>286000</v>
      </c>
      <c r="P71" s="79">
        <f>298108.97+5250</f>
        <v>303358.97</v>
      </c>
      <c r="Q71" s="48"/>
      <c r="R71" s="48"/>
      <c r="S71" s="48"/>
      <c r="T71" s="48"/>
      <c r="U71" s="49"/>
      <c r="V71" s="49"/>
      <c r="W71" s="49"/>
      <c r="X71" s="49"/>
      <c r="Y71" s="68">
        <f t="shared" si="2"/>
        <v>589358.97</v>
      </c>
      <c r="Z71" s="21">
        <f t="shared" si="9"/>
        <v>0</v>
      </c>
    </row>
    <row r="72" spans="1:26" ht="18.75">
      <c r="A72" s="35"/>
      <c r="B72" s="36"/>
      <c r="C72" s="46" t="s">
        <v>85</v>
      </c>
      <c r="D72" s="16">
        <f t="shared" si="6"/>
        <v>400000</v>
      </c>
      <c r="E72" s="18"/>
      <c r="F72" s="47">
        <f t="shared" si="7"/>
        <v>400000</v>
      </c>
      <c r="G72" s="47">
        <v>400000</v>
      </c>
      <c r="H72" s="47"/>
      <c r="I72" s="29">
        <f t="shared" si="10"/>
        <v>0</v>
      </c>
      <c r="J72" s="71">
        <f t="shared" si="11"/>
        <v>0</v>
      </c>
      <c r="L72" s="68">
        <f t="shared" si="12"/>
        <v>290000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8">
        <f t="shared" si="2"/>
        <v>400000</v>
      </c>
      <c r="Z72" s="21">
        <f t="shared" si="9"/>
        <v>0</v>
      </c>
    </row>
    <row r="73" spans="1:26" ht="37.5">
      <c r="A73" s="35"/>
      <c r="B73" s="36"/>
      <c r="C73" s="46" t="s">
        <v>86</v>
      </c>
      <c r="D73" s="16">
        <f t="shared" si="6"/>
        <v>202968.32</v>
      </c>
      <c r="E73" s="18"/>
      <c r="F73" s="47">
        <f t="shared" si="7"/>
        <v>202968.32</v>
      </c>
      <c r="G73" s="47">
        <f>201000+1968.32</f>
        <v>202968.32</v>
      </c>
      <c r="H73" s="47">
        <f>190086.61</f>
        <v>190086.61</v>
      </c>
      <c r="I73" s="16">
        <f t="shared" si="10"/>
        <v>93.65333959506586</v>
      </c>
      <c r="J73" s="71">
        <f t="shared" si="11"/>
        <v>93.65333959506586</v>
      </c>
      <c r="L73" s="68">
        <f t="shared" si="12"/>
        <v>12881.710000000021</v>
      </c>
      <c r="M73" s="6"/>
      <c r="N73" s="6"/>
      <c r="O73" s="48"/>
      <c r="P73" s="79">
        <f>201000+1968.32</f>
        <v>202968.32</v>
      </c>
      <c r="Q73" s="48"/>
      <c r="R73" s="48"/>
      <c r="S73" s="48"/>
      <c r="T73" s="48"/>
      <c r="U73" s="49"/>
      <c r="V73" s="49"/>
      <c r="W73" s="49"/>
      <c r="X73" s="49"/>
      <c r="Y73" s="68">
        <f t="shared" si="2"/>
        <v>202968.32</v>
      </c>
      <c r="Z73" s="21">
        <f t="shared" si="9"/>
        <v>0</v>
      </c>
    </row>
    <row r="74" spans="1:26" ht="37.5">
      <c r="A74" s="35"/>
      <c r="B74" s="36"/>
      <c r="C74" s="46" t="s">
        <v>87</v>
      </c>
      <c r="D74" s="16">
        <f t="shared" si="6"/>
        <v>145717.01</v>
      </c>
      <c r="E74" s="18"/>
      <c r="F74" s="47">
        <f t="shared" si="7"/>
        <v>145717.01</v>
      </c>
      <c r="G74" s="47">
        <f>145000+717.01</f>
        <v>145717.01</v>
      </c>
      <c r="H74" s="47">
        <f>137489.66</f>
        <v>137489.66</v>
      </c>
      <c r="I74" s="16">
        <f t="shared" si="10"/>
        <v>94.3538849719741</v>
      </c>
      <c r="J74" s="71">
        <f t="shared" si="11"/>
        <v>94.3538849719741</v>
      </c>
      <c r="L74" s="68">
        <f t="shared" si="12"/>
        <v>8227.350000000006</v>
      </c>
      <c r="M74" s="6"/>
      <c r="N74" s="6"/>
      <c r="O74" s="48"/>
      <c r="P74" s="79">
        <f>145000+717.01</f>
        <v>145717.01</v>
      </c>
      <c r="Q74" s="48"/>
      <c r="R74" s="48"/>
      <c r="S74" s="48"/>
      <c r="T74" s="48"/>
      <c r="U74" s="49"/>
      <c r="V74" s="49"/>
      <c r="W74" s="49"/>
      <c r="X74" s="49"/>
      <c r="Y74" s="68">
        <f t="shared" si="2"/>
        <v>145717.01</v>
      </c>
      <c r="Z74" s="21">
        <f t="shared" si="9"/>
        <v>0</v>
      </c>
    </row>
    <row r="75" spans="1:26" ht="18.75">
      <c r="A75" s="35"/>
      <c r="B75" s="36"/>
      <c r="C75" s="46" t="s">
        <v>88</v>
      </c>
      <c r="D75" s="16">
        <f t="shared" si="6"/>
        <v>1500000</v>
      </c>
      <c r="E75" s="18"/>
      <c r="F75" s="47">
        <f t="shared" si="7"/>
        <v>1500000</v>
      </c>
      <c r="G75" s="47">
        <v>1500000</v>
      </c>
      <c r="H75" s="47">
        <f>61000</f>
        <v>61000</v>
      </c>
      <c r="I75" s="80">
        <f t="shared" si="10"/>
        <v>4.066666666666666</v>
      </c>
      <c r="J75" s="71">
        <f t="shared" si="11"/>
        <v>6.235646321623413</v>
      </c>
      <c r="L75" s="68">
        <f t="shared" si="12"/>
        <v>917246.63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8">
        <f t="shared" si="2"/>
        <v>1500000</v>
      </c>
      <c r="Z75" s="21">
        <f t="shared" si="9"/>
        <v>0</v>
      </c>
    </row>
    <row r="76" spans="1:26" ht="18.75">
      <c r="A76" s="35"/>
      <c r="B76" s="36"/>
      <c r="C76" s="46" t="s">
        <v>89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10"/>
        <v>0</v>
      </c>
      <c r="J76" s="71">
        <f t="shared" si="11"/>
        <v>0</v>
      </c>
      <c r="L76" s="68">
        <f t="shared" si="12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8">
        <f t="shared" si="2"/>
        <v>10000</v>
      </c>
      <c r="Z76" s="21">
        <f t="shared" si="9"/>
        <v>0</v>
      </c>
    </row>
    <row r="77" spans="1:26" ht="18.75">
      <c r="A77" s="35"/>
      <c r="B77" s="36"/>
      <c r="C77" s="46" t="s">
        <v>90</v>
      </c>
      <c r="D77" s="16">
        <f t="shared" si="6"/>
        <v>72500</v>
      </c>
      <c r="E77" s="18"/>
      <c r="F77" s="47">
        <f t="shared" si="7"/>
        <v>72500</v>
      </c>
      <c r="G77" s="47">
        <v>72500</v>
      </c>
      <c r="H77" s="47"/>
      <c r="I77" s="29">
        <f t="shared" si="10"/>
        <v>0</v>
      </c>
      <c r="J77" s="71" t="e">
        <f t="shared" si="11"/>
        <v>#DIV/0!</v>
      </c>
      <c r="L77" s="68">
        <f t="shared" si="12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8">
        <f aca="true" t="shared" si="13" ref="Y77:Y107">SUM(M77:X77)</f>
        <v>72500</v>
      </c>
      <c r="Z77" s="21">
        <f t="shared" si="9"/>
        <v>0</v>
      </c>
    </row>
    <row r="78" spans="1:26" ht="37.5">
      <c r="A78" s="35"/>
      <c r="B78" s="36"/>
      <c r="C78" s="46" t="s">
        <v>91</v>
      </c>
      <c r="D78" s="16">
        <f t="shared" si="6"/>
        <v>45000</v>
      </c>
      <c r="E78" s="18"/>
      <c r="F78" s="47">
        <f t="shared" si="7"/>
        <v>45000</v>
      </c>
      <c r="G78" s="47">
        <v>45000</v>
      </c>
      <c r="H78" s="47"/>
      <c r="I78" s="29">
        <f t="shared" si="10"/>
        <v>0</v>
      </c>
      <c r="J78" s="71">
        <f t="shared" si="11"/>
        <v>0</v>
      </c>
      <c r="L78" s="68">
        <f t="shared" si="12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8">
        <f t="shared" si="13"/>
        <v>45000</v>
      </c>
      <c r="Z78" s="21">
        <f t="shared" si="9"/>
        <v>0</v>
      </c>
    </row>
    <row r="79" spans="1:26" ht="18.75">
      <c r="A79" s="97" t="s">
        <v>92</v>
      </c>
      <c r="B79" s="98"/>
      <c r="C79" s="98"/>
      <c r="D79" s="98"/>
      <c r="E79" s="98"/>
      <c r="F79" s="98"/>
      <c r="G79" s="99"/>
      <c r="H79" s="6"/>
      <c r="I79" s="44"/>
      <c r="J79" s="71"/>
      <c r="L79" s="68">
        <f t="shared" si="12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8">
        <f t="shared" si="13"/>
        <v>0</v>
      </c>
      <c r="Z79" s="21">
        <f t="shared" si="9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131616669.81</v>
      </c>
      <c r="E80" s="56"/>
      <c r="F80" s="13">
        <f>SUM(F81:F106)</f>
        <v>131616669.81</v>
      </c>
      <c r="G80" s="13">
        <f>SUM(G81:G106)</f>
        <v>131616669.81</v>
      </c>
      <c r="H80" s="13">
        <f>SUM(H81:H106)</f>
        <v>26979780.169999998</v>
      </c>
      <c r="I80" s="13">
        <f t="shared" si="10"/>
        <v>20.49875612940795</v>
      </c>
      <c r="J80" s="13">
        <f t="shared" si="11"/>
        <v>52.92683319231121</v>
      </c>
      <c r="L80" s="72">
        <f t="shared" si="12"/>
        <v>23995837.569999997</v>
      </c>
      <c r="M80" s="75">
        <f>SUM(M81:M106)</f>
        <v>0</v>
      </c>
      <c r="N80" s="75">
        <f aca="true" t="shared" si="14" ref="N80:X80">SUM(N81:N106)</f>
        <v>0</v>
      </c>
      <c r="O80" s="72">
        <f t="shared" si="14"/>
        <v>8050000</v>
      </c>
      <c r="P80" s="72">
        <f t="shared" si="14"/>
        <v>22284756.8</v>
      </c>
      <c r="Q80" s="72">
        <f t="shared" si="14"/>
        <v>9181800</v>
      </c>
      <c r="R80" s="72">
        <f t="shared" si="14"/>
        <v>11459060.940000001</v>
      </c>
      <c r="S80" s="72">
        <f t="shared" si="14"/>
        <v>12939502.09</v>
      </c>
      <c r="T80" s="72">
        <f t="shared" si="14"/>
        <v>15161967.76</v>
      </c>
      <c r="U80" s="72">
        <f t="shared" si="14"/>
        <v>10014200</v>
      </c>
      <c r="V80" s="72">
        <f t="shared" si="14"/>
        <v>10657714.8</v>
      </c>
      <c r="W80" s="72">
        <f t="shared" si="14"/>
        <v>16239760.6</v>
      </c>
      <c r="X80" s="72">
        <f t="shared" si="14"/>
        <v>15627906.82</v>
      </c>
      <c r="Y80" s="72">
        <f>SUM(M80:X80)</f>
        <v>131616669.81</v>
      </c>
      <c r="Z80" s="21">
        <f t="shared" si="9"/>
        <v>0</v>
      </c>
    </row>
    <row r="81" spans="1:26" ht="18.75">
      <c r="A81" s="57"/>
      <c r="B81" s="3"/>
      <c r="C81" s="46" t="s">
        <v>93</v>
      </c>
      <c r="D81" s="16">
        <f aca="true" t="shared" si="15" ref="D81:D106">E81+F81</f>
        <v>800000</v>
      </c>
      <c r="E81" s="18"/>
      <c r="F81" s="47">
        <f aca="true" t="shared" si="16" ref="F81:F106">G81</f>
        <v>800000</v>
      </c>
      <c r="G81" s="47">
        <v>800000</v>
      </c>
      <c r="H81" s="50"/>
      <c r="I81" s="29">
        <f t="shared" si="10"/>
        <v>0</v>
      </c>
      <c r="J81" s="71">
        <f t="shared" si="11"/>
        <v>0</v>
      </c>
      <c r="L81" s="68">
        <f t="shared" si="12"/>
        <v>800000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8">
        <f t="shared" si="13"/>
        <v>800000</v>
      </c>
      <c r="Z81" s="21">
        <f t="shared" si="9"/>
        <v>0</v>
      </c>
    </row>
    <row r="82" spans="1:26" ht="18.75">
      <c r="A82" s="57"/>
      <c r="B82" s="3"/>
      <c r="C82" s="81" t="s">
        <v>116</v>
      </c>
      <c r="D82" s="16">
        <f t="shared" si="15"/>
        <v>3000000</v>
      </c>
      <c r="E82" s="18"/>
      <c r="F82" s="47">
        <f t="shared" si="16"/>
        <v>3000000</v>
      </c>
      <c r="G82" s="47">
        <f>3000000</f>
        <v>3000000</v>
      </c>
      <c r="H82" s="50"/>
      <c r="I82" s="29"/>
      <c r="J82" s="71" t="e">
        <f t="shared" si="11"/>
        <v>#DIV/0!</v>
      </c>
      <c r="L82" s="68">
        <f t="shared" si="12"/>
        <v>0</v>
      </c>
      <c r="M82" s="58"/>
      <c r="N82" s="58"/>
      <c r="O82" s="58"/>
      <c r="P82" s="58"/>
      <c r="Q82" s="58"/>
      <c r="R82" s="58"/>
      <c r="S82" s="58"/>
      <c r="T82" s="58"/>
      <c r="U82" s="58"/>
      <c r="V82" s="82">
        <v>1000000</v>
      </c>
      <c r="W82" s="82">
        <v>2000000</v>
      </c>
      <c r="X82" s="58"/>
      <c r="Y82" s="68">
        <f t="shared" si="13"/>
        <v>3000000</v>
      </c>
      <c r="Z82" s="21">
        <f t="shared" si="9"/>
        <v>0</v>
      </c>
    </row>
    <row r="83" spans="1:26" ht="18.75">
      <c r="A83" s="57"/>
      <c r="B83" s="3"/>
      <c r="C83" s="46" t="s">
        <v>94</v>
      </c>
      <c r="D83" s="16">
        <f t="shared" si="15"/>
        <v>22000000</v>
      </c>
      <c r="E83" s="18"/>
      <c r="F83" s="47">
        <f t="shared" si="16"/>
        <v>22000000</v>
      </c>
      <c r="G83" s="47">
        <f>8000000-1000000+5000000+10000000</f>
        <v>22000000</v>
      </c>
      <c r="H83" s="50">
        <f>2500000+924670.32+19613.05+4000000+2000000</f>
        <v>9444283.37</v>
      </c>
      <c r="I83" s="16">
        <f t="shared" si="10"/>
        <v>42.92856077272727</v>
      </c>
      <c r="J83" s="71">
        <f t="shared" si="11"/>
        <v>87.73138290757082</v>
      </c>
      <c r="L83" s="68">
        <f t="shared" si="12"/>
        <v>1320716.6300000008</v>
      </c>
      <c r="M83" s="58"/>
      <c r="N83" s="58"/>
      <c r="O83" s="58"/>
      <c r="P83" s="82">
        <v>3437500</v>
      </c>
      <c r="Q83" s="82">
        <f>3437500-2000000</f>
        <v>1437500</v>
      </c>
      <c r="R83" s="82">
        <f>90000+5000000+800000</f>
        <v>5890000</v>
      </c>
      <c r="S83" s="82">
        <f>5000000-800000</f>
        <v>4200000</v>
      </c>
      <c r="T83" s="82">
        <v>5000000</v>
      </c>
      <c r="U83" s="82">
        <v>35000</v>
      </c>
      <c r="V83" s="82"/>
      <c r="W83" s="82">
        <v>2000000</v>
      </c>
      <c r="X83" s="58"/>
      <c r="Y83" s="68">
        <f t="shared" si="13"/>
        <v>22000000</v>
      </c>
      <c r="Z83" s="21">
        <f t="shared" si="9"/>
        <v>0</v>
      </c>
    </row>
    <row r="84" spans="1:26" ht="18.75">
      <c r="A84" s="57"/>
      <c r="B84" s="3"/>
      <c r="C84" s="46" t="s">
        <v>95</v>
      </c>
      <c r="D84" s="16">
        <f t="shared" si="15"/>
        <v>1330000</v>
      </c>
      <c r="E84" s="18"/>
      <c r="F84" s="47">
        <f t="shared" si="16"/>
        <v>1330000</v>
      </c>
      <c r="G84" s="50">
        <f>1300000+30000</f>
        <v>1330000</v>
      </c>
      <c r="H84" s="50"/>
      <c r="I84" s="29">
        <f t="shared" si="10"/>
        <v>0</v>
      </c>
      <c r="J84" s="71">
        <f t="shared" si="11"/>
        <v>0</v>
      </c>
      <c r="L84" s="68">
        <f t="shared" si="12"/>
        <v>1070000</v>
      </c>
      <c r="M84" s="58"/>
      <c r="N84" s="58"/>
      <c r="O84" s="58"/>
      <c r="P84" s="82">
        <v>650000</v>
      </c>
      <c r="Q84" s="82">
        <v>130000</v>
      </c>
      <c r="R84" s="82">
        <f>260000+30000</f>
        <v>290000</v>
      </c>
      <c r="S84" s="82">
        <v>260000</v>
      </c>
      <c r="T84" s="58"/>
      <c r="U84" s="58"/>
      <c r="V84" s="58"/>
      <c r="W84" s="58"/>
      <c r="X84" s="58"/>
      <c r="Y84" s="68">
        <f t="shared" si="13"/>
        <v>1330000</v>
      </c>
      <c r="Z84" s="21">
        <f t="shared" si="9"/>
        <v>0</v>
      </c>
    </row>
    <row r="85" spans="1:26" ht="18.75">
      <c r="A85" s="57"/>
      <c r="B85" s="3"/>
      <c r="C85" s="46" t="s">
        <v>96</v>
      </c>
      <c r="D85" s="16">
        <f t="shared" si="15"/>
        <v>15600000</v>
      </c>
      <c r="E85" s="18"/>
      <c r="F85" s="47">
        <f t="shared" si="16"/>
        <v>15600000</v>
      </c>
      <c r="G85" s="47">
        <f>600000+15000000</f>
        <v>15600000</v>
      </c>
      <c r="H85" s="50"/>
      <c r="I85" s="29">
        <f t="shared" si="10"/>
        <v>0</v>
      </c>
      <c r="J85" s="71">
        <f t="shared" si="11"/>
        <v>0</v>
      </c>
      <c r="L85" s="68">
        <f t="shared" si="12"/>
        <v>400000</v>
      </c>
      <c r="M85" s="58"/>
      <c r="N85" s="58"/>
      <c r="O85" s="58"/>
      <c r="P85" s="58"/>
      <c r="Q85" s="58"/>
      <c r="R85" s="82">
        <f>600000+600000-800000</f>
        <v>400000</v>
      </c>
      <c r="S85" s="82">
        <f>6000000+800000</f>
        <v>6800000</v>
      </c>
      <c r="T85" s="82">
        <f>6000000</f>
        <v>6000000</v>
      </c>
      <c r="U85" s="82">
        <f>2400000</f>
        <v>2400000</v>
      </c>
      <c r="V85" s="58"/>
      <c r="W85" s="58"/>
      <c r="X85" s="58"/>
      <c r="Y85" s="68">
        <f t="shared" si="13"/>
        <v>15600000</v>
      </c>
      <c r="Z85" s="21">
        <f t="shared" si="9"/>
        <v>0</v>
      </c>
    </row>
    <row r="86" spans="1:26" ht="18.75">
      <c r="A86" s="57"/>
      <c r="B86" s="3"/>
      <c r="C86" s="46" t="s">
        <v>97</v>
      </c>
      <c r="D86" s="16">
        <f t="shared" si="15"/>
        <v>500000</v>
      </c>
      <c r="E86" s="18"/>
      <c r="F86" s="47">
        <f t="shared" si="16"/>
        <v>500000</v>
      </c>
      <c r="G86" s="50">
        <v>500000</v>
      </c>
      <c r="H86" s="50"/>
      <c r="I86" s="29">
        <f t="shared" si="10"/>
        <v>0</v>
      </c>
      <c r="J86" s="71">
        <f t="shared" si="11"/>
        <v>0</v>
      </c>
      <c r="L86" s="68">
        <f t="shared" si="12"/>
        <v>390000</v>
      </c>
      <c r="M86" s="58"/>
      <c r="N86" s="58"/>
      <c r="O86" s="58"/>
      <c r="P86" s="58"/>
      <c r="Q86" s="58">
        <f>200000-10000</f>
        <v>190000</v>
      </c>
      <c r="R86" s="58">
        <f>200000+10000-10000</f>
        <v>200000</v>
      </c>
      <c r="S86" s="58">
        <v>100000</v>
      </c>
      <c r="T86" s="58"/>
      <c r="U86" s="58">
        <f>10000</f>
        <v>10000</v>
      </c>
      <c r="V86" s="58"/>
      <c r="W86" s="58"/>
      <c r="X86" s="58"/>
      <c r="Y86" s="68">
        <f t="shared" si="13"/>
        <v>500000</v>
      </c>
      <c r="Z86" s="21">
        <f t="shared" si="9"/>
        <v>0</v>
      </c>
    </row>
    <row r="87" spans="1:26" ht="18.75">
      <c r="A87" s="57"/>
      <c r="B87" s="3"/>
      <c r="C87" s="46" t="s">
        <v>117</v>
      </c>
      <c r="D87" s="16">
        <f t="shared" si="15"/>
        <v>300000</v>
      </c>
      <c r="E87" s="18"/>
      <c r="F87" s="47">
        <f t="shared" si="16"/>
        <v>300000</v>
      </c>
      <c r="G87" s="50">
        <v>300000</v>
      </c>
      <c r="H87" s="50">
        <f>5291</f>
        <v>5291</v>
      </c>
      <c r="I87" s="16">
        <f t="shared" si="10"/>
        <v>1.7636666666666665</v>
      </c>
      <c r="J87" s="71">
        <f t="shared" si="11"/>
        <v>52.910000000000004</v>
      </c>
      <c r="L87" s="68">
        <f t="shared" si="12"/>
        <v>4709</v>
      </c>
      <c r="M87" s="58"/>
      <c r="N87" s="58"/>
      <c r="O87" s="58"/>
      <c r="P87" s="58"/>
      <c r="Q87" s="58"/>
      <c r="R87" s="58">
        <f>10000</f>
        <v>10000</v>
      </c>
      <c r="S87" s="58"/>
      <c r="T87" s="58"/>
      <c r="U87" s="58">
        <f>200000-10000</f>
        <v>190000</v>
      </c>
      <c r="V87" s="58">
        <v>100000</v>
      </c>
      <c r="W87" s="58"/>
      <c r="X87" s="58"/>
      <c r="Y87" s="68">
        <f t="shared" si="13"/>
        <v>300000</v>
      </c>
      <c r="Z87" s="21">
        <f t="shared" si="9"/>
        <v>0</v>
      </c>
    </row>
    <row r="88" spans="1:26" ht="37.5">
      <c r="A88" s="57"/>
      <c r="B88" s="3"/>
      <c r="C88" s="46" t="s">
        <v>98</v>
      </c>
      <c r="D88" s="16">
        <f t="shared" si="15"/>
        <v>3556000</v>
      </c>
      <c r="E88" s="18"/>
      <c r="F88" s="47">
        <f t="shared" si="16"/>
        <v>3556000</v>
      </c>
      <c r="G88" s="47">
        <v>3556000</v>
      </c>
      <c r="H88" s="50">
        <f>408764</f>
        <v>408764</v>
      </c>
      <c r="I88" s="16">
        <f t="shared" si="10"/>
        <v>11.495050618672666</v>
      </c>
      <c r="J88" s="71">
        <f t="shared" si="11"/>
        <v>19.881517509727626</v>
      </c>
      <c r="L88" s="68">
        <f t="shared" si="12"/>
        <v>1647236</v>
      </c>
      <c r="M88" s="58"/>
      <c r="N88" s="58"/>
      <c r="O88" s="58"/>
      <c r="P88" s="58">
        <f>2330000-1000000</f>
        <v>1330000</v>
      </c>
      <c r="Q88" s="58">
        <f>795000-500000</f>
        <v>295000</v>
      </c>
      <c r="R88" s="58">
        <v>431000</v>
      </c>
      <c r="S88" s="59"/>
      <c r="T88" s="58"/>
      <c r="U88" s="58"/>
      <c r="V88" s="58">
        <v>1000000</v>
      </c>
      <c r="W88" s="58">
        <v>500000</v>
      </c>
      <c r="X88" s="58"/>
      <c r="Y88" s="68">
        <f t="shared" si="13"/>
        <v>3556000</v>
      </c>
      <c r="Z88" s="21">
        <f t="shared" si="9"/>
        <v>0</v>
      </c>
    </row>
    <row r="89" spans="1:26" ht="37.5">
      <c r="A89" s="57"/>
      <c r="B89" s="3"/>
      <c r="C89" s="46" t="s">
        <v>99</v>
      </c>
      <c r="D89" s="16">
        <f t="shared" si="15"/>
        <v>5963000</v>
      </c>
      <c r="E89" s="18"/>
      <c r="F89" s="47">
        <f t="shared" si="16"/>
        <v>5963000</v>
      </c>
      <c r="G89" s="47">
        <v>5963000</v>
      </c>
      <c r="H89" s="50"/>
      <c r="I89" s="29">
        <f t="shared" si="10"/>
        <v>0</v>
      </c>
      <c r="J89" s="71">
        <f t="shared" si="11"/>
        <v>0</v>
      </c>
      <c r="L89" s="68">
        <f t="shared" si="12"/>
        <v>1994050</v>
      </c>
      <c r="M89" s="58"/>
      <c r="N89" s="58"/>
      <c r="O89" s="58"/>
      <c r="P89" s="58">
        <f>1600000-600000</f>
        <v>1000000</v>
      </c>
      <c r="Q89" s="58">
        <f>630000-500000</f>
        <v>130000</v>
      </c>
      <c r="R89" s="58">
        <f>1864050-1000000</f>
        <v>864050</v>
      </c>
      <c r="S89" s="59"/>
      <c r="T89" s="58"/>
      <c r="U89" s="58">
        <v>1000000</v>
      </c>
      <c r="V89" s="58">
        <v>600000</v>
      </c>
      <c r="W89" s="58">
        <v>500000</v>
      </c>
      <c r="X89" s="58">
        <f>868950+1000000</f>
        <v>1868950</v>
      </c>
      <c r="Y89" s="68">
        <f t="shared" si="13"/>
        <v>5963000</v>
      </c>
      <c r="Z89" s="21">
        <f t="shared" si="9"/>
        <v>0</v>
      </c>
    </row>
    <row r="90" spans="1:26" ht="18.75">
      <c r="A90" s="57"/>
      <c r="B90" s="3"/>
      <c r="C90" s="46" t="s">
        <v>100</v>
      </c>
      <c r="D90" s="16">
        <f t="shared" si="15"/>
        <v>28621003</v>
      </c>
      <c r="E90" s="18"/>
      <c r="F90" s="47">
        <f t="shared" si="16"/>
        <v>28621003</v>
      </c>
      <c r="G90" s="47">
        <f>42821003-3000000-11200000</f>
        <v>28621003</v>
      </c>
      <c r="H90" s="50">
        <f>7000000+3000000</f>
        <v>10000000</v>
      </c>
      <c r="I90" s="16">
        <f t="shared" si="10"/>
        <v>34.939376513115214</v>
      </c>
      <c r="J90" s="71">
        <f t="shared" si="11"/>
        <v>64.93506493506493</v>
      </c>
      <c r="L90" s="68">
        <f t="shared" si="12"/>
        <v>5400000</v>
      </c>
      <c r="M90" s="58"/>
      <c r="N90" s="58"/>
      <c r="O90" s="79">
        <v>4200000</v>
      </c>
      <c r="P90" s="79">
        <v>8000000</v>
      </c>
      <c r="Q90" s="79">
        <f>7100000-5000000</f>
        <v>2100000</v>
      </c>
      <c r="R90" s="79">
        <f>5100000-4000000</f>
        <v>1100000</v>
      </c>
      <c r="S90" s="79">
        <f>5200000-5000000</f>
        <v>200000</v>
      </c>
      <c r="T90" s="79">
        <f>5080000-5000000</f>
        <v>80000</v>
      </c>
      <c r="U90" s="79">
        <v>5130000</v>
      </c>
      <c r="V90" s="79"/>
      <c r="W90" s="79">
        <f>5000000-3668958.4</f>
        <v>1331041.6</v>
      </c>
      <c r="X90" s="79">
        <f>11003+4000000+3668958.4-1200000</f>
        <v>6479961.4</v>
      </c>
      <c r="Y90" s="68">
        <f t="shared" si="13"/>
        <v>28621003</v>
      </c>
      <c r="Z90" s="21">
        <f t="shared" si="9"/>
        <v>0</v>
      </c>
    </row>
    <row r="91" spans="1:26" ht="18.75">
      <c r="A91" s="57"/>
      <c r="B91" s="3"/>
      <c r="C91" s="46" t="s">
        <v>118</v>
      </c>
      <c r="D91" s="16">
        <f t="shared" si="15"/>
        <v>500000</v>
      </c>
      <c r="E91" s="18"/>
      <c r="F91" s="47">
        <f t="shared" si="16"/>
        <v>500000</v>
      </c>
      <c r="G91" s="47">
        <f>500000</f>
        <v>500000</v>
      </c>
      <c r="H91" s="50"/>
      <c r="I91" s="16"/>
      <c r="J91" s="71" t="e">
        <f t="shared" si="11"/>
        <v>#DIV/0!</v>
      </c>
      <c r="L91" s="68">
        <f t="shared" si="12"/>
        <v>0</v>
      </c>
      <c r="M91" s="58"/>
      <c r="N91" s="58"/>
      <c r="O91" s="58"/>
      <c r="P91" s="58"/>
      <c r="Q91" s="58"/>
      <c r="R91" s="58"/>
      <c r="S91" s="58"/>
      <c r="T91" s="58"/>
      <c r="U91" s="79">
        <v>400000</v>
      </c>
      <c r="V91" s="79">
        <v>100000</v>
      </c>
      <c r="W91" s="58"/>
      <c r="X91" s="58"/>
      <c r="Y91" s="68">
        <f t="shared" si="13"/>
        <v>500000</v>
      </c>
      <c r="Z91" s="21">
        <f t="shared" si="9"/>
        <v>0</v>
      </c>
    </row>
    <row r="92" spans="1:26" ht="18.75">
      <c r="A92" s="57"/>
      <c r="B92" s="3"/>
      <c r="C92" s="46" t="s">
        <v>101</v>
      </c>
      <c r="D92" s="16">
        <f t="shared" si="15"/>
        <v>150000</v>
      </c>
      <c r="E92" s="18"/>
      <c r="F92" s="47">
        <f t="shared" si="16"/>
        <v>150000</v>
      </c>
      <c r="G92" s="47">
        <v>150000</v>
      </c>
      <c r="H92" s="50"/>
      <c r="I92" s="29">
        <f t="shared" si="10"/>
        <v>0</v>
      </c>
      <c r="J92" s="71">
        <f t="shared" si="11"/>
        <v>0</v>
      </c>
      <c r="L92" s="68">
        <f t="shared" si="12"/>
        <v>150000</v>
      </c>
      <c r="M92" s="58"/>
      <c r="N92" s="58"/>
      <c r="O92" s="58"/>
      <c r="P92" s="58"/>
      <c r="Q92" s="58">
        <v>150000</v>
      </c>
      <c r="R92" s="58"/>
      <c r="S92" s="58"/>
      <c r="T92" s="58"/>
      <c r="U92" s="58"/>
      <c r="V92" s="58"/>
      <c r="W92" s="58"/>
      <c r="X92" s="58"/>
      <c r="Y92" s="68">
        <f t="shared" si="13"/>
        <v>150000</v>
      </c>
      <c r="Z92" s="21">
        <f t="shared" si="9"/>
        <v>0</v>
      </c>
    </row>
    <row r="93" spans="1:26" ht="18.75">
      <c r="A93" s="57"/>
      <c r="B93" s="3"/>
      <c r="C93" s="46" t="s">
        <v>102</v>
      </c>
      <c r="D93" s="16">
        <f t="shared" si="15"/>
        <v>460000</v>
      </c>
      <c r="E93" s="18"/>
      <c r="F93" s="47">
        <f t="shared" si="16"/>
        <v>460000</v>
      </c>
      <c r="G93" s="50">
        <v>460000</v>
      </c>
      <c r="H93" s="50"/>
      <c r="I93" s="29">
        <f t="shared" si="10"/>
        <v>0</v>
      </c>
      <c r="J93" s="71">
        <f t="shared" si="11"/>
        <v>0</v>
      </c>
      <c r="L93" s="68">
        <f t="shared" si="12"/>
        <v>460000</v>
      </c>
      <c r="M93" s="58"/>
      <c r="N93" s="58"/>
      <c r="O93" s="58"/>
      <c r="P93" s="58"/>
      <c r="Q93" s="58">
        <v>210000</v>
      </c>
      <c r="R93" s="58">
        <v>250000</v>
      </c>
      <c r="S93" s="58"/>
      <c r="T93" s="58"/>
      <c r="U93" s="58"/>
      <c r="V93" s="58"/>
      <c r="W93" s="58"/>
      <c r="X93" s="58"/>
      <c r="Y93" s="68">
        <f t="shared" si="13"/>
        <v>460000</v>
      </c>
      <c r="Z93" s="21">
        <f aca="true" t="shared" si="17" ref="Z93:Z106">Y93-D93</f>
        <v>0</v>
      </c>
    </row>
    <row r="94" spans="1:26" ht="18.75">
      <c r="A94" s="57"/>
      <c r="B94" s="3"/>
      <c r="C94" s="46" t="s">
        <v>103</v>
      </c>
      <c r="D94" s="16">
        <f t="shared" si="15"/>
        <v>560000</v>
      </c>
      <c r="E94" s="18"/>
      <c r="F94" s="47">
        <f t="shared" si="16"/>
        <v>560000</v>
      </c>
      <c r="G94" s="50">
        <v>560000</v>
      </c>
      <c r="H94" s="50">
        <f>276237.6</f>
        <v>276237.6</v>
      </c>
      <c r="I94" s="16">
        <f aca="true" t="shared" si="18" ref="I94:I107">H94/D94*100</f>
        <v>49.32814285714285</v>
      </c>
      <c r="J94" s="71">
        <f t="shared" si="11"/>
        <v>49.32814285714285</v>
      </c>
      <c r="L94" s="68">
        <f t="shared" si="12"/>
        <v>283762.4</v>
      </c>
      <c r="M94" s="58"/>
      <c r="N94" s="58"/>
      <c r="O94" s="58"/>
      <c r="P94" s="58">
        <v>276237.6</v>
      </c>
      <c r="Q94" s="58">
        <v>176200</v>
      </c>
      <c r="R94" s="58">
        <v>107562.4</v>
      </c>
      <c r="S94" s="59"/>
      <c r="T94" s="58"/>
      <c r="U94" s="58"/>
      <c r="V94" s="58"/>
      <c r="W94" s="58"/>
      <c r="X94" s="58"/>
      <c r="Y94" s="68">
        <f t="shared" si="13"/>
        <v>560000</v>
      </c>
      <c r="Z94" s="21">
        <f t="shared" si="17"/>
        <v>0</v>
      </c>
    </row>
    <row r="95" spans="1:26" ht="18.75">
      <c r="A95" s="57"/>
      <c r="B95" s="3"/>
      <c r="C95" s="46" t="s">
        <v>104</v>
      </c>
      <c r="D95" s="16">
        <f t="shared" si="15"/>
        <v>680000</v>
      </c>
      <c r="E95" s="18"/>
      <c r="F95" s="47">
        <f t="shared" si="16"/>
        <v>680000</v>
      </c>
      <c r="G95" s="50">
        <v>680000</v>
      </c>
      <c r="H95" s="50"/>
      <c r="I95" s="29">
        <f t="shared" si="18"/>
        <v>0</v>
      </c>
      <c r="J95" s="71">
        <f aca="true" t="shared" si="19" ref="J95:J107">(H95/(M95+N95+O95+P95+Q95+R95))*100</f>
        <v>0</v>
      </c>
      <c r="L95" s="68">
        <f aca="true" t="shared" si="20" ref="L95:L107">(M95+N95+O95+P95+Q95+R95)-H95</f>
        <v>200000</v>
      </c>
      <c r="M95" s="58"/>
      <c r="N95" s="58"/>
      <c r="O95" s="58"/>
      <c r="P95" s="58"/>
      <c r="Q95" s="58">
        <v>100000</v>
      </c>
      <c r="R95" s="58">
        <v>100000</v>
      </c>
      <c r="S95" s="58">
        <v>100000</v>
      </c>
      <c r="T95" s="58">
        <v>100000</v>
      </c>
      <c r="U95" s="58">
        <v>100000</v>
      </c>
      <c r="V95" s="58">
        <v>180000</v>
      </c>
      <c r="W95" s="58"/>
      <c r="X95" s="58"/>
      <c r="Y95" s="68">
        <f t="shared" si="13"/>
        <v>680000</v>
      </c>
      <c r="Z95" s="21">
        <f t="shared" si="17"/>
        <v>0</v>
      </c>
    </row>
    <row r="96" spans="1:26" ht="18.75">
      <c r="A96" s="57"/>
      <c r="B96" s="3"/>
      <c r="C96" s="46" t="s">
        <v>105</v>
      </c>
      <c r="D96" s="16">
        <f t="shared" si="15"/>
        <v>8000000</v>
      </c>
      <c r="E96" s="18"/>
      <c r="F96" s="47">
        <f t="shared" si="16"/>
        <v>8000000</v>
      </c>
      <c r="G96" s="47">
        <v>8000000</v>
      </c>
      <c r="H96" s="50">
        <f>3276477.6+1727104.4</f>
        <v>5003582</v>
      </c>
      <c r="I96" s="16">
        <f t="shared" si="18"/>
        <v>62.544774999999994</v>
      </c>
      <c r="J96" s="71">
        <f t="shared" si="19"/>
        <v>73.58208823529412</v>
      </c>
      <c r="L96" s="68">
        <f t="shared" si="20"/>
        <v>1796418</v>
      </c>
      <c r="M96" s="58"/>
      <c r="N96" s="58"/>
      <c r="O96" s="58">
        <v>3850000</v>
      </c>
      <c r="P96" s="58">
        <f>2650000-1000000</f>
        <v>1650000</v>
      </c>
      <c r="Q96" s="58">
        <v>1100000</v>
      </c>
      <c r="R96" s="58">
        <v>200000</v>
      </c>
      <c r="S96" s="58">
        <v>200000</v>
      </c>
      <c r="T96" s="58"/>
      <c r="U96" s="58"/>
      <c r="V96" s="58">
        <v>1000000</v>
      </c>
      <c r="W96" s="58"/>
      <c r="X96" s="58"/>
      <c r="Y96" s="68">
        <f t="shared" si="13"/>
        <v>8000000</v>
      </c>
      <c r="Z96" s="21">
        <f t="shared" si="17"/>
        <v>0</v>
      </c>
    </row>
    <row r="97" spans="1:26" ht="37.5">
      <c r="A97" s="57"/>
      <c r="B97" s="3"/>
      <c r="C97" s="46" t="s">
        <v>106</v>
      </c>
      <c r="D97" s="16">
        <f t="shared" si="15"/>
        <v>1376503.16</v>
      </c>
      <c r="E97" s="18"/>
      <c r="F97" s="47">
        <f t="shared" si="16"/>
        <v>1376503.16</v>
      </c>
      <c r="G97" s="50">
        <v>1376503.16</v>
      </c>
      <c r="H97" s="50">
        <f>643647</f>
        <v>643647</v>
      </c>
      <c r="I97" s="16">
        <f t="shared" si="18"/>
        <v>46.75957300381352</v>
      </c>
      <c r="J97" s="71">
        <f t="shared" si="19"/>
        <v>46.75957300381352</v>
      </c>
      <c r="L97" s="68">
        <f t="shared" si="20"/>
        <v>732856.1599999999</v>
      </c>
      <c r="M97" s="58"/>
      <c r="N97" s="58"/>
      <c r="O97" s="58"/>
      <c r="P97" s="58">
        <v>643647</v>
      </c>
      <c r="Q97" s="58">
        <v>295000</v>
      </c>
      <c r="R97" s="58">
        <v>437856.16</v>
      </c>
      <c r="S97" s="59"/>
      <c r="T97" s="58"/>
      <c r="U97" s="58"/>
      <c r="V97" s="58"/>
      <c r="W97" s="58"/>
      <c r="X97" s="58"/>
      <c r="Y97" s="68">
        <f t="shared" si="13"/>
        <v>1376503.16</v>
      </c>
      <c r="Z97" s="21">
        <f t="shared" si="17"/>
        <v>0</v>
      </c>
    </row>
    <row r="98" spans="1:26" ht="37.5">
      <c r="A98" s="57"/>
      <c r="B98" s="3"/>
      <c r="C98" s="46" t="s">
        <v>107</v>
      </c>
      <c r="D98" s="16">
        <f t="shared" si="15"/>
        <v>2000000</v>
      </c>
      <c r="E98" s="18"/>
      <c r="F98" s="47">
        <f t="shared" si="16"/>
        <v>2000000</v>
      </c>
      <c r="G98" s="50">
        <v>2000000</v>
      </c>
      <c r="H98" s="50"/>
      <c r="I98" s="29">
        <f t="shared" si="18"/>
        <v>0</v>
      </c>
      <c r="J98" s="71">
        <f t="shared" si="19"/>
        <v>0</v>
      </c>
      <c r="L98" s="68">
        <f t="shared" si="20"/>
        <v>890004.5800000001</v>
      </c>
      <c r="M98" s="58"/>
      <c r="N98" s="58"/>
      <c r="O98" s="58"/>
      <c r="P98" s="58">
        <v>450000</v>
      </c>
      <c r="Q98" s="58">
        <v>359000</v>
      </c>
      <c r="R98" s="58">
        <f>400000-318995.42</f>
        <v>81004.58000000002</v>
      </c>
      <c r="S98" s="58">
        <v>350000</v>
      </c>
      <c r="T98" s="58">
        <v>341800</v>
      </c>
      <c r="U98" s="58">
        <v>99200</v>
      </c>
      <c r="V98" s="58"/>
      <c r="W98" s="58"/>
      <c r="X98" s="58">
        <v>318995.42</v>
      </c>
      <c r="Y98" s="68">
        <f t="shared" si="13"/>
        <v>2000000</v>
      </c>
      <c r="Z98" s="21">
        <f t="shared" si="17"/>
        <v>0</v>
      </c>
    </row>
    <row r="99" spans="1:26" ht="37.5">
      <c r="A99" s="57"/>
      <c r="B99" s="3"/>
      <c r="C99" s="46" t="s">
        <v>108</v>
      </c>
      <c r="D99" s="16">
        <f t="shared" si="15"/>
        <v>1050767.7600000007</v>
      </c>
      <c r="E99" s="18"/>
      <c r="F99" s="47">
        <f t="shared" si="16"/>
        <v>1050767.7600000007</v>
      </c>
      <c r="G99" s="50">
        <v>1050767.7600000007</v>
      </c>
      <c r="H99" s="50"/>
      <c r="I99" s="29">
        <f t="shared" si="18"/>
        <v>0</v>
      </c>
      <c r="J99" s="71">
        <f t="shared" si="19"/>
        <v>0</v>
      </c>
      <c r="L99" s="68">
        <f t="shared" si="20"/>
        <v>586885.2</v>
      </c>
      <c r="M99" s="58"/>
      <c r="N99" s="58"/>
      <c r="O99" s="58"/>
      <c r="P99" s="58">
        <f>430000-223714.8</f>
        <v>206285.2</v>
      </c>
      <c r="Q99" s="58">
        <v>150000</v>
      </c>
      <c r="R99" s="58">
        <v>230600</v>
      </c>
      <c r="S99" s="58">
        <v>200000</v>
      </c>
      <c r="T99" s="58">
        <v>40167.76</v>
      </c>
      <c r="U99" s="58"/>
      <c r="V99" s="58">
        <v>223714.8</v>
      </c>
      <c r="W99" s="58"/>
      <c r="X99" s="58"/>
      <c r="Y99" s="68">
        <f t="shared" si="13"/>
        <v>1050767.76</v>
      </c>
      <c r="Z99" s="21">
        <f t="shared" si="17"/>
        <v>0</v>
      </c>
    </row>
    <row r="100" spans="1:26" ht="37.5">
      <c r="A100" s="57"/>
      <c r="B100" s="3"/>
      <c r="C100" s="46" t="s">
        <v>109</v>
      </c>
      <c r="D100" s="16">
        <f t="shared" si="15"/>
        <v>676676.89</v>
      </c>
      <c r="E100" s="18"/>
      <c r="F100" s="47">
        <f t="shared" si="16"/>
        <v>676676.89</v>
      </c>
      <c r="G100" s="50">
        <v>676676.89</v>
      </c>
      <c r="H100" s="50"/>
      <c r="I100" s="29">
        <f t="shared" si="18"/>
        <v>0</v>
      </c>
      <c r="J100" s="71">
        <f t="shared" si="19"/>
        <v>0</v>
      </c>
      <c r="L100" s="68">
        <f t="shared" si="20"/>
        <v>585000</v>
      </c>
      <c r="M100" s="58"/>
      <c r="N100" s="58"/>
      <c r="O100" s="58"/>
      <c r="P100" s="58">
        <v>385000</v>
      </c>
      <c r="Q100" s="58">
        <v>100000</v>
      </c>
      <c r="R100" s="58">
        <v>100000</v>
      </c>
      <c r="S100" s="58">
        <v>91676.89</v>
      </c>
      <c r="T100" s="58"/>
      <c r="U100" s="58"/>
      <c r="V100" s="58"/>
      <c r="W100" s="58"/>
      <c r="X100" s="58"/>
      <c r="Y100" s="68">
        <f t="shared" si="13"/>
        <v>676676.89</v>
      </c>
      <c r="Z100" s="21">
        <f t="shared" si="17"/>
        <v>0</v>
      </c>
    </row>
    <row r="101" spans="1:26" ht="37.5">
      <c r="A101" s="57"/>
      <c r="B101" s="3"/>
      <c r="C101" s="46" t="s">
        <v>110</v>
      </c>
      <c r="D101" s="16">
        <f t="shared" si="15"/>
        <v>2450000</v>
      </c>
      <c r="E101" s="18"/>
      <c r="F101" s="47">
        <f t="shared" si="16"/>
        <v>2450000</v>
      </c>
      <c r="G101" s="50">
        <v>2450000</v>
      </c>
      <c r="H101" s="50">
        <f>597711</f>
        <v>597711</v>
      </c>
      <c r="I101" s="16">
        <f t="shared" si="18"/>
        <v>24.396367346938774</v>
      </c>
      <c r="J101" s="71">
        <f t="shared" si="19"/>
        <v>31.25817786114533</v>
      </c>
      <c r="L101" s="68">
        <f t="shared" si="20"/>
        <v>1314463.8</v>
      </c>
      <c r="M101" s="58"/>
      <c r="N101" s="58"/>
      <c r="O101" s="58"/>
      <c r="P101" s="58">
        <v>1186087</v>
      </c>
      <c r="Q101" s="58">
        <v>429100</v>
      </c>
      <c r="R101" s="58">
        <f>796987.8-500000</f>
        <v>296987.80000000005</v>
      </c>
      <c r="S101" s="58">
        <v>37825.2</v>
      </c>
      <c r="T101" s="58"/>
      <c r="U101" s="58"/>
      <c r="V101" s="58"/>
      <c r="W101" s="58"/>
      <c r="X101" s="58">
        <v>500000</v>
      </c>
      <c r="Y101" s="68">
        <f t="shared" si="13"/>
        <v>2450000</v>
      </c>
      <c r="Z101" s="21">
        <f t="shared" si="17"/>
        <v>0</v>
      </c>
    </row>
    <row r="102" spans="1:26" ht="37.5">
      <c r="A102" s="57"/>
      <c r="B102" s="3"/>
      <c r="C102" s="46" t="s">
        <v>111</v>
      </c>
      <c r="D102" s="16">
        <f t="shared" si="15"/>
        <v>9834000</v>
      </c>
      <c r="E102" s="18"/>
      <c r="F102" s="47">
        <f t="shared" si="16"/>
        <v>9834000</v>
      </c>
      <c r="G102" s="47">
        <v>9834000</v>
      </c>
      <c r="H102" s="50">
        <f>33264+9234</f>
        <v>42498</v>
      </c>
      <c r="I102" s="16">
        <f t="shared" si="18"/>
        <v>0.4321537522879805</v>
      </c>
      <c r="J102" s="71">
        <f t="shared" si="19"/>
        <v>2.6561250000000003</v>
      </c>
      <c r="L102" s="68">
        <f t="shared" si="20"/>
        <v>1557502</v>
      </c>
      <c r="M102" s="58"/>
      <c r="N102" s="58"/>
      <c r="O102" s="58"/>
      <c r="P102" s="58">
        <f>2400000-1000000</f>
        <v>1400000</v>
      </c>
      <c r="Q102" s="58">
        <f>1000000-800000</f>
        <v>200000</v>
      </c>
      <c r="R102" s="58"/>
      <c r="S102" s="58"/>
      <c r="T102" s="58">
        <v>3000000</v>
      </c>
      <c r="U102" s="58"/>
      <c r="V102" s="58">
        <f>1434000+1000000</f>
        <v>2434000</v>
      </c>
      <c r="W102" s="58">
        <f>1000000+800000</f>
        <v>1800000</v>
      </c>
      <c r="X102" s="58">
        <v>1000000</v>
      </c>
      <c r="Y102" s="68">
        <f t="shared" si="13"/>
        <v>9834000</v>
      </c>
      <c r="Z102" s="21">
        <f t="shared" si="17"/>
        <v>0</v>
      </c>
    </row>
    <row r="103" spans="1:26" ht="37.5">
      <c r="A103" s="35"/>
      <c r="B103" s="60"/>
      <c r="C103" s="46" t="s">
        <v>112</v>
      </c>
      <c r="D103" s="16">
        <f t="shared" si="15"/>
        <v>8567000</v>
      </c>
      <c r="E103" s="18"/>
      <c r="F103" s="47">
        <f t="shared" si="16"/>
        <v>8567000</v>
      </c>
      <c r="G103" s="47">
        <v>8567000</v>
      </c>
      <c r="H103" s="50">
        <f>15646</f>
        <v>15646</v>
      </c>
      <c r="I103" s="16">
        <f t="shared" si="18"/>
        <v>0.18263102603011558</v>
      </c>
      <c r="J103" s="71">
        <f t="shared" si="19"/>
        <v>1.1175714285714284</v>
      </c>
      <c r="L103" s="68">
        <f t="shared" si="20"/>
        <v>1384354</v>
      </c>
      <c r="M103" s="58"/>
      <c r="N103" s="58"/>
      <c r="O103" s="58"/>
      <c r="P103" s="58"/>
      <c r="Q103" s="58">
        <f>2400000-1400000</f>
        <v>1000000</v>
      </c>
      <c r="R103" s="58">
        <f>2400000-2000000</f>
        <v>400000</v>
      </c>
      <c r="S103" s="58"/>
      <c r="T103" s="58"/>
      <c r="U103" s="58"/>
      <c r="V103" s="58"/>
      <c r="W103" s="58">
        <f>1767000+1400000</f>
        <v>3167000</v>
      </c>
      <c r="X103" s="58">
        <f>2000000+2000000</f>
        <v>4000000</v>
      </c>
      <c r="Y103" s="68">
        <f t="shared" si="13"/>
        <v>8567000</v>
      </c>
      <c r="Z103" s="21">
        <f t="shared" si="17"/>
        <v>0</v>
      </c>
    </row>
    <row r="104" spans="1:26" ht="37.5">
      <c r="A104" s="35"/>
      <c r="B104" s="60"/>
      <c r="C104" s="46" t="s">
        <v>113</v>
      </c>
      <c r="D104" s="16">
        <f t="shared" si="15"/>
        <v>3033744</v>
      </c>
      <c r="E104" s="18"/>
      <c r="F104" s="47">
        <f t="shared" si="16"/>
        <v>3033744</v>
      </c>
      <c r="G104" s="50">
        <f>6033744-3000000</f>
        <v>3033744</v>
      </c>
      <c r="H104" s="50">
        <f>10927+531193.2</f>
        <v>542120.2</v>
      </c>
      <c r="I104" s="16">
        <f t="shared" si="18"/>
        <v>17.86967522638693</v>
      </c>
      <c r="J104" s="71">
        <f t="shared" si="19"/>
        <v>38.72287142857142</v>
      </c>
      <c r="L104" s="68">
        <f t="shared" si="20"/>
        <v>857879.8</v>
      </c>
      <c r="M104" s="58"/>
      <c r="N104" s="58"/>
      <c r="O104" s="58"/>
      <c r="P104" s="79">
        <f>2000000-1000000</f>
        <v>1000000</v>
      </c>
      <c r="Q104" s="79">
        <f>1900000-1500000</f>
        <v>400000</v>
      </c>
      <c r="R104" s="79"/>
      <c r="S104" s="79"/>
      <c r="T104" s="79"/>
      <c r="U104" s="79"/>
      <c r="V104" s="79">
        <f>1000000-1000000</f>
        <v>0</v>
      </c>
      <c r="W104" s="79">
        <f>1133744+1500000-2000000</f>
        <v>633744</v>
      </c>
      <c r="X104" s="79">
        <v>1000000</v>
      </c>
      <c r="Y104" s="68">
        <f t="shared" si="13"/>
        <v>3033744</v>
      </c>
      <c r="Z104" s="21">
        <f t="shared" si="17"/>
        <v>0</v>
      </c>
    </row>
    <row r="105" spans="1:26" ht="37.5">
      <c r="A105" s="35"/>
      <c r="B105" s="60"/>
      <c r="C105" s="46" t="s">
        <v>114</v>
      </c>
      <c r="D105" s="16">
        <f t="shared" si="15"/>
        <v>10100000</v>
      </c>
      <c r="E105" s="18"/>
      <c r="F105" s="47">
        <f t="shared" si="16"/>
        <v>10100000</v>
      </c>
      <c r="G105" s="61">
        <f>100000+10000000</f>
        <v>10100000</v>
      </c>
      <c r="H105" s="50"/>
      <c r="I105" s="29">
        <f t="shared" si="18"/>
        <v>0</v>
      </c>
      <c r="J105" s="71">
        <f t="shared" si="19"/>
        <v>0</v>
      </c>
      <c r="L105" s="68">
        <f t="shared" si="20"/>
        <v>100000</v>
      </c>
      <c r="M105" s="58"/>
      <c r="N105" s="58"/>
      <c r="O105" s="58"/>
      <c r="P105" s="79">
        <v>70000</v>
      </c>
      <c r="Q105" s="79">
        <v>30000</v>
      </c>
      <c r="R105" s="79"/>
      <c r="S105" s="79">
        <f>100000</f>
        <v>100000</v>
      </c>
      <c r="T105" s="79">
        <f>600000</f>
        <v>600000</v>
      </c>
      <c r="U105" s="79">
        <f>600000</f>
        <v>600000</v>
      </c>
      <c r="V105" s="79">
        <f>4000000</f>
        <v>4000000</v>
      </c>
      <c r="W105" s="79">
        <f>4300000</f>
        <v>4300000</v>
      </c>
      <c r="X105" s="79">
        <v>400000</v>
      </c>
      <c r="Y105" s="68">
        <f t="shared" si="13"/>
        <v>10100000</v>
      </c>
      <c r="Z105" s="21">
        <f t="shared" si="17"/>
        <v>0</v>
      </c>
    </row>
    <row r="106" spans="1:26" ht="18.75">
      <c r="A106" s="57"/>
      <c r="B106" s="3"/>
      <c r="C106" s="46" t="s">
        <v>115</v>
      </c>
      <c r="D106" s="16">
        <f t="shared" si="15"/>
        <v>507975</v>
      </c>
      <c r="E106" s="18"/>
      <c r="F106" s="47">
        <f t="shared" si="16"/>
        <v>507975</v>
      </c>
      <c r="G106" s="61">
        <f>5000000-1936125-1185900-30000-1340000</f>
        <v>507975</v>
      </c>
      <c r="H106" s="6"/>
      <c r="I106" s="29">
        <f t="shared" si="18"/>
        <v>0</v>
      </c>
      <c r="J106" s="71">
        <f t="shared" si="19"/>
        <v>0</v>
      </c>
      <c r="L106" s="68">
        <f t="shared" si="20"/>
        <v>70000</v>
      </c>
      <c r="M106" s="58"/>
      <c r="N106" s="58"/>
      <c r="O106" s="58"/>
      <c r="P106" s="82"/>
      <c r="Q106" s="82"/>
      <c r="R106" s="82">
        <f>900000-800000-30000</f>
        <v>70000</v>
      </c>
      <c r="S106" s="82">
        <f>400000-100000</f>
        <v>300000</v>
      </c>
      <c r="T106" s="82"/>
      <c r="U106" s="82">
        <f>450000-400000</f>
        <v>50000</v>
      </c>
      <c r="V106" s="82">
        <f>120000-100000</f>
        <v>20000</v>
      </c>
      <c r="W106" s="82">
        <v>7975</v>
      </c>
      <c r="X106" s="82">
        <f>800000-740000</f>
        <v>60000</v>
      </c>
      <c r="Y106" s="68">
        <f t="shared" si="13"/>
        <v>507975</v>
      </c>
      <c r="Z106" s="21">
        <f t="shared" si="17"/>
        <v>0</v>
      </c>
    </row>
    <row r="107" spans="1:26" ht="18.75">
      <c r="A107" s="19"/>
      <c r="B107" s="11"/>
      <c r="C107" s="40" t="s">
        <v>2</v>
      </c>
      <c r="D107" s="13">
        <f>D11+D80</f>
        <v>224916878.62</v>
      </c>
      <c r="E107" s="13">
        <f>E11+E80</f>
        <v>54847147.29</v>
      </c>
      <c r="F107" s="13">
        <f>F11+F80</f>
        <v>170069731.32999998</v>
      </c>
      <c r="G107" s="13">
        <f>G11+G80</f>
        <v>170069731.32999998</v>
      </c>
      <c r="H107" s="13">
        <f>H11+H80</f>
        <v>43881986.67</v>
      </c>
      <c r="I107" s="13">
        <f t="shared" si="18"/>
        <v>19.510312849459016</v>
      </c>
      <c r="J107" s="13">
        <f t="shared" si="19"/>
        <v>48.92268531791844</v>
      </c>
      <c r="L107" s="72">
        <f t="shared" si="20"/>
        <v>45814616.010000005</v>
      </c>
      <c r="M107" s="72">
        <f>M80+M29+M11</f>
        <v>3250000</v>
      </c>
      <c r="N107" s="72">
        <f aca="true" t="shared" si="21" ref="N107:X107">N80+N29+N11</f>
        <v>3932800</v>
      </c>
      <c r="O107" s="72">
        <f t="shared" si="21"/>
        <v>13631274.91</v>
      </c>
      <c r="P107" s="72">
        <f t="shared" si="21"/>
        <v>33499428.25</v>
      </c>
      <c r="Q107" s="72">
        <f t="shared" si="21"/>
        <v>17792489.89</v>
      </c>
      <c r="R107" s="72">
        <f t="shared" si="21"/>
        <v>17590609.630000003</v>
      </c>
      <c r="S107" s="72">
        <f t="shared" si="21"/>
        <v>34899227.84</v>
      </c>
      <c r="T107" s="72">
        <f t="shared" si="21"/>
        <v>22640121.909999996</v>
      </c>
      <c r="U107" s="72">
        <f t="shared" si="21"/>
        <v>18587354.15</v>
      </c>
      <c r="V107" s="72">
        <f t="shared" si="21"/>
        <v>18303907.950000003</v>
      </c>
      <c r="W107" s="72">
        <f t="shared" si="21"/>
        <v>21622468.119999997</v>
      </c>
      <c r="X107" s="72">
        <f t="shared" si="21"/>
        <v>19167195.97</v>
      </c>
      <c r="Y107" s="68">
        <f t="shared" si="13"/>
        <v>224916878.62000003</v>
      </c>
      <c r="Z107" s="21">
        <f>Y107-D107</f>
        <v>0</v>
      </c>
    </row>
  </sheetData>
  <sheetProtection/>
  <mergeCells count="29"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J7:J8"/>
    <mergeCell ref="D1:E1"/>
    <mergeCell ref="A3:I3"/>
    <mergeCell ref="A4:I4"/>
    <mergeCell ref="I7:I8"/>
    <mergeCell ref="A7:A8"/>
    <mergeCell ref="C7:C8"/>
    <mergeCell ref="D7:D8"/>
    <mergeCell ref="E7:E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2018-06-07T13:09:44Z</dcterms:modified>
  <cp:category/>
  <cp:version/>
  <cp:contentType/>
  <cp:contentStatus/>
</cp:coreProperties>
</file>